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5520" tabRatio="602" firstSheet="6" activeTab="8"/>
  </bookViews>
  <sheets>
    <sheet name="COMPORTA 1" sheetId="1" r:id="rId1"/>
    <sheet name="EjecPres" sheetId="2" r:id="rId2"/>
    <sheet name="Por rubros" sheetId="3" r:id="rId3"/>
    <sheet name="CONTRATOS-11" sheetId="4" r:id="rId4"/>
    <sheet name="CONTRATOS-12" sheetId="5" r:id="rId5"/>
    <sheet name="RESERVAS PMDER 2010" sheetId="6" r:id="rId6"/>
    <sheet name="RESERVAS PMDER 2011" sheetId="7" r:id="rId7"/>
    <sheet name="RESERVAS PMDER 2012" sheetId="8" r:id="rId8"/>
    <sheet name="Otros ingresos" sheetId="9" r:id="rId9"/>
  </sheets>
  <externalReferences>
    <externalReference r:id="rId12"/>
    <externalReference r:id="rId13"/>
  </externalReferences>
  <definedNames>
    <definedName name="_Regression_Int" localSheetId="0" hidden="1">1</definedName>
    <definedName name="A_impresión_IM" localSheetId="0">'COMPORTA 1'!$A$1:$K$74</definedName>
    <definedName name="A_impresión_IM" localSheetId="3">#REF!</definedName>
    <definedName name="A_impresión_IM" localSheetId="4">#REF!</definedName>
    <definedName name="A_impresión_IM" localSheetId="8">#REF!</definedName>
    <definedName name="A_impresión_IM">#REF!</definedName>
    <definedName name="_xlnm.Print_Area" localSheetId="0">'COMPORTA 1'!$A$1:$M$84</definedName>
    <definedName name="_xlnm.Print_Area" localSheetId="3">'CONTRATOS-11'!$A$1:$H$34</definedName>
    <definedName name="_xlnm.Print_Area" localSheetId="4">'CONTRATOS-12'!$A$1:$G$45</definedName>
    <definedName name="_xlnm.Print_Area" localSheetId="1">'EjecPres'!$A$1:$G$52</definedName>
    <definedName name="_xlnm.Print_Area" localSheetId="8">'Otros ingresos'!$A$2:$L$37</definedName>
    <definedName name="_xlnm.Print_Area" localSheetId="5">'RESERVAS PMDER 2010'!$A$1:$G$25</definedName>
    <definedName name="_xlnm.Print_Area" localSheetId="6">'RESERVAS PMDER 2011'!$A$1:$G$38</definedName>
    <definedName name="_xlnm.Print_Area" localSheetId="7">'RESERVAS PMDER 2012'!$A$1:$G$28</definedName>
    <definedName name="_xlnm.Print_Titles" localSheetId="0">'COMPORTA 1'!$6:$11</definedName>
    <definedName name="_xlnm.Print_Titles" localSheetId="1">'EjecPres'!$2:$6</definedName>
    <definedName name="_xlnm.Print_Titles" localSheetId="5">'RESERVAS PMDER 2010'!$10:$10</definedName>
  </definedNames>
  <calcPr fullCalcOnLoad="1"/>
</workbook>
</file>

<file path=xl/sharedStrings.xml><?xml version="1.0" encoding="utf-8"?>
<sst xmlns="http://schemas.openxmlformats.org/spreadsheetml/2006/main" count="583" uniqueCount="376">
  <si>
    <t>__________</t>
  </si>
  <si>
    <t>Saldo</t>
  </si>
  <si>
    <t>Programa a favor de Ecuador</t>
  </si>
  <si>
    <t>Mantenimiento y reparación de equipos y otros</t>
  </si>
  <si>
    <t>Posesión y separación de cargos</t>
  </si>
  <si>
    <t>Programa a favor de Paraguay</t>
  </si>
  <si>
    <t>Bonificaciones ordinarias</t>
  </si>
  <si>
    <t>Bonificación anual</t>
  </si>
  <si>
    <t>Gastos Operativos de Programas</t>
  </si>
  <si>
    <t>Contratación</t>
  </si>
  <si>
    <t>Actividad/ Resolución</t>
  </si>
  <si>
    <t>Consumo General</t>
  </si>
  <si>
    <t>Desviación s/promedio</t>
  </si>
  <si>
    <t>Total Rubro 2</t>
  </si>
  <si>
    <t>Actividades</t>
  </si>
  <si>
    <t>Denominación</t>
  </si>
  <si>
    <t>1.1</t>
  </si>
  <si>
    <t>1.2</t>
  </si>
  <si>
    <t>1.3</t>
  </si>
  <si>
    <t>Beneficios sociales</t>
  </si>
  <si>
    <t>1.6</t>
  </si>
  <si>
    <t>Horas extras</t>
  </si>
  <si>
    <t>1.7</t>
  </si>
  <si>
    <t>2.1</t>
  </si>
  <si>
    <t>2.2</t>
  </si>
  <si>
    <t>Asesores</t>
  </si>
  <si>
    <t>2.3</t>
  </si>
  <si>
    <t>2.4</t>
  </si>
  <si>
    <t>Sistema de apoyo a los PMDER</t>
  </si>
  <si>
    <t>2.5</t>
  </si>
  <si>
    <t>Difusión</t>
  </si>
  <si>
    <t>2.6</t>
  </si>
  <si>
    <t>Capacitación y entrenamiento</t>
  </si>
  <si>
    <t>Equipamiento</t>
  </si>
  <si>
    <t>Locomoción</t>
  </si>
  <si>
    <t>Seguros sobre bienes</t>
  </si>
  <si>
    <t>(en U$S dólares)</t>
  </si>
  <si>
    <t>Asignación</t>
  </si>
  <si>
    <t>Crédito</t>
  </si>
  <si>
    <t>Rubro</t>
  </si>
  <si>
    <t>Cta.</t>
  </si>
  <si>
    <t>Presupuestal</t>
  </si>
  <si>
    <t>Consumos</t>
  </si>
  <si>
    <t>1.8</t>
  </si>
  <si>
    <t>Total Rubro 1</t>
  </si>
  <si>
    <t>3.1</t>
  </si>
  <si>
    <t>Suministros</t>
  </si>
  <si>
    <t>3.1.1</t>
  </si>
  <si>
    <t>3.1.2</t>
  </si>
  <si>
    <t>3.1.3</t>
  </si>
  <si>
    <t>Procesamiento de datos</t>
  </si>
  <si>
    <t>3.1.4</t>
  </si>
  <si>
    <t>Biblioteca</t>
  </si>
  <si>
    <t>3.1.5</t>
  </si>
  <si>
    <t>Comité y Reuniones</t>
  </si>
  <si>
    <t>3.2</t>
  </si>
  <si>
    <t>3.2.1</t>
  </si>
  <si>
    <t>3.2.2</t>
  </si>
  <si>
    <t>3.3</t>
  </si>
  <si>
    <t>3.3.1</t>
  </si>
  <si>
    <t>3.3.2</t>
  </si>
  <si>
    <t>3.3.3</t>
  </si>
  <si>
    <t>3.4</t>
  </si>
  <si>
    <t>Gastos diversos</t>
  </si>
  <si>
    <t>3.4.1</t>
  </si>
  <si>
    <t>3.4.2</t>
  </si>
  <si>
    <t>3.4.3</t>
  </si>
  <si>
    <t>3.4.4</t>
  </si>
  <si>
    <t>Auditoría Contable Externa</t>
  </si>
  <si>
    <t>Total Rubro 3</t>
  </si>
  <si>
    <t>Total Rubro 4</t>
  </si>
  <si>
    <t>TRIBUNAL ADMINISTRATIVO</t>
  </si>
  <si>
    <t>Total Rubro 5</t>
  </si>
  <si>
    <t>TOTAL GENERAL</t>
  </si>
  <si>
    <t>POSESIÓN Y SEPARACIÓN DE CARGOS</t>
  </si>
  <si>
    <t>COMENTARIOS SOBRE EL ESTADO DE EJECUCIÓN PRESUPUESTAL</t>
  </si>
  <si>
    <t>1.5</t>
  </si>
  <si>
    <t>RETRIBUCIONES Y COSTOS DE PERSONAL</t>
  </si>
  <si>
    <t>GASTOS OPERATIVOS DE PROGRAMAS</t>
  </si>
  <si>
    <t>GASTOS GENERALES E INVERSIONES FÍSICAS</t>
  </si>
  <si>
    <t>Misiones de Servicio Personal de la Secretaría</t>
  </si>
  <si>
    <t>Consultores y personal transitorio, técnico y de apoyo</t>
  </si>
  <si>
    <t>2.7</t>
  </si>
  <si>
    <t>Suministros para trabajos de impresión</t>
  </si>
  <si>
    <t>Edificios</t>
  </si>
  <si>
    <t>Servicios y gastos de funcionamiento del edificio</t>
  </si>
  <si>
    <t>Conservación y mejoras del edificio</t>
  </si>
  <si>
    <t>Inversiones en equipamiento y software informático</t>
  </si>
  <si>
    <t>Utilizado</t>
  </si>
  <si>
    <t xml:space="preserve"> </t>
  </si>
  <si>
    <t>Gastos en comunicaciones</t>
  </si>
  <si>
    <t>OTROS INGRESOS PRESUPUESTALES</t>
  </si>
  <si>
    <t>Totales</t>
  </si>
  <si>
    <t>Conceptos</t>
  </si>
  <si>
    <t>EJECUCIÓN PRESUPUESTAL DE LOS SUBRUBROS  2.5, 2.6  y  4</t>
  </si>
  <si>
    <t>Ingresos por ventas menos gastos relacionados (bancarios, envíos correo, etc.)</t>
  </si>
  <si>
    <t>Publicaciones y suministro de información</t>
  </si>
  <si>
    <t>COMPARACIÓN ENTRE LA EJECUCIÓN PRESUPUESTAL</t>
  </si>
  <si>
    <t>Rubros</t>
  </si>
  <si>
    <t>1</t>
  </si>
  <si>
    <t>Retribuciones y Costos de Personal</t>
  </si>
  <si>
    <t>2</t>
  </si>
  <si>
    <t>Misiones de Servicio del Personal de la Secretaría</t>
  </si>
  <si>
    <t>3</t>
  </si>
  <si>
    <t>Gastos Generales e Inversiones Físicas</t>
  </si>
  <si>
    <t>4</t>
  </si>
  <si>
    <t>Posesión y Separación de Cargos</t>
  </si>
  <si>
    <t>Tribunal Administrativo</t>
  </si>
  <si>
    <t>Total General</t>
  </si>
  <si>
    <t>%</t>
  </si>
  <si>
    <t>Capacitación y entrena-miento</t>
  </si>
  <si>
    <t>Sub-   rubro</t>
  </si>
  <si>
    <t>Adicional ejercicio jefatura</t>
  </si>
  <si>
    <t>1.9</t>
  </si>
  <si>
    <t>3.1.6</t>
  </si>
  <si>
    <t>Partida para gastos protocolares</t>
  </si>
  <si>
    <t>Subrubro 2.4 - Sistema de Apoyo a los PMDER</t>
  </si>
  <si>
    <t>Nombre</t>
  </si>
  <si>
    <t xml:space="preserve">N° </t>
  </si>
  <si>
    <t>Total</t>
  </si>
  <si>
    <t>Saldo pendiente</t>
  </si>
  <si>
    <t>Compensac. por ejerc.cargos de part.resp.y conf.</t>
  </si>
  <si>
    <t>Consultores, Personal Transit., Técnico y de Apoyo</t>
  </si>
  <si>
    <t>Complem. sueldo base y partidas relacionadas</t>
  </si>
  <si>
    <t xml:space="preserve">Subrubro                 </t>
  </si>
  <si>
    <t>Consumo total  (US$)</t>
  </si>
  <si>
    <t>Gastos bancarios, diferencia de cambio, venta material de desecho, alquiler de salas, venta de bienes en desuso, intereses cuenta corriente, intereses plazos fijos, etc.</t>
  </si>
  <si>
    <t>Utilizado/</t>
  </si>
  <si>
    <t>(Presup.</t>
  </si>
  <si>
    <t>Los indicadores presentados, en porcentaje, corresponden a los créditos presupuestales consumidos y efectivamente utilizados en el período de referencia calculados con relación a la asignación presupuestal anual y las transferencias aprobadas para cada rubro. No se toma en cuenta el crédito comprometido.</t>
  </si>
  <si>
    <t>+ Transf.) (1)</t>
  </si>
  <si>
    <t>(1) Porcentaje consumido calculado como: Consumo utilizado (gasto efectivamente ejecutado y pagado) / (Asignación Presupuestal + Transferencias aprobadas). No se considera el Consumo Comprometido.</t>
  </si>
  <si>
    <t>S I S T E M A   D E   A P O Y O   A   L O S   P M D E R - RESERVAS 2010</t>
  </si>
  <si>
    <t>Monto reservado al cierre 2010</t>
  </si>
  <si>
    <t>Monto compromet./ utilizado en 2011</t>
  </si>
  <si>
    <t>Presentación de productos y subproductos elaborados por las microempresas ecuatorianas para el intercambio comercial con países de la ALADI</t>
  </si>
  <si>
    <t>Programa a favor de ECUADOR</t>
  </si>
  <si>
    <t>Programa a favor de PARAGUAY</t>
  </si>
  <si>
    <t xml:space="preserve">Sueldos básicos   </t>
  </si>
  <si>
    <t>Financiación de reuniones acordadas en el Programa</t>
  </si>
  <si>
    <t>Inversiones en equipos de impresión, comunic. y otros</t>
  </si>
  <si>
    <t>Presupuesto 2011</t>
  </si>
  <si>
    <t>Pagos 2011</t>
  </si>
  <si>
    <t>ESTADO DE LOS PAGOS DE CONTRATOS DE CONSULTORES SUSCRITOS DURANTE LA EJECUCIÓN 2011</t>
  </si>
  <si>
    <t xml:space="preserve">final </t>
  </si>
  <si>
    <t>crédito</t>
  </si>
  <si>
    <t>presupuestal</t>
  </si>
  <si>
    <t xml:space="preserve">          La Secretaría General presenta en la páginas 3 y 4 de este informe el Estado de Ejecución Presupuestal incluyendo el desglose de la columna de "Consumos" en "Crédito Utilizado" y "Crédito Comprometido". El crédito utilizado es el gasto efectivamente pagado. En la columna de "Crédito Comprometido" se registran los saldos comprometidos pero aún no cancelados (contratos con etapas pendientes, órdenes de compra pendientes, facturas de mantenimientos varios que se pagan a mes vencido, facturas de pasajes pendientes de pago, importaciones y compras locales pendientes, etc.). </t>
  </si>
  <si>
    <t>VI-1-  Res. 373 - 2011</t>
  </si>
  <si>
    <t>Ingresos Netos Varios</t>
  </si>
  <si>
    <t>(1)</t>
  </si>
  <si>
    <t>(2)</t>
  </si>
  <si>
    <t>CONSULTORA SEPROYCO (vencimiento según contrato: 15/07/2011)</t>
  </si>
  <si>
    <t>07/11</t>
  </si>
  <si>
    <t>S I S T E M A   D E   A P O Y O   A   L O S   P M D E R - ACUERDO 322</t>
  </si>
  <si>
    <t>Generación de Redes de microempresas asociativas para la comercialización</t>
  </si>
  <si>
    <t>Objeto: El consultor deberá asesorar jurídicamente a la Secretaría General en la defensa de sus intereses ante conflictos de carácter laboral que eventualmente se presentaran (ante el Comité de Reconsideración y/o ante el Tribunal Administrativo) con motivo de reestructuras administrativas y reclasificaciones, entre otras. Asimismo, deberá asesorar al Secretario General en la elaboración de las normas generales sobre personal derivadas de la normativa presente o futura.</t>
  </si>
  <si>
    <t>VI-2-  Res. 373 - 2011</t>
  </si>
  <si>
    <t>(3)</t>
  </si>
  <si>
    <t>(4)</t>
  </si>
  <si>
    <r>
      <t xml:space="preserve">Detalle diferencias </t>
    </r>
    <r>
      <rPr>
        <b/>
        <u val="single"/>
        <sz val="10"/>
        <rFont val="Arial"/>
        <family val="2"/>
      </rPr>
      <t>(1)</t>
    </r>
    <r>
      <rPr>
        <u val="single"/>
        <sz val="10"/>
        <rFont val="Arial"/>
        <family val="2"/>
      </rPr>
      <t>:</t>
    </r>
  </si>
  <si>
    <r>
      <t xml:space="preserve">Detalle diferencias </t>
    </r>
    <r>
      <rPr>
        <b/>
        <u val="single"/>
        <sz val="10"/>
        <rFont val="Arial"/>
        <family val="2"/>
      </rPr>
      <t>(2)</t>
    </r>
    <r>
      <rPr>
        <u val="single"/>
        <sz val="10"/>
        <rFont val="Arial"/>
        <family val="2"/>
      </rPr>
      <t>:</t>
    </r>
  </si>
  <si>
    <r>
      <t xml:space="preserve">Detalle diferencias </t>
    </r>
    <r>
      <rPr>
        <b/>
        <u val="single"/>
        <sz val="10"/>
        <rFont val="Arial"/>
        <family val="2"/>
      </rPr>
      <t>(3)</t>
    </r>
    <r>
      <rPr>
        <u val="single"/>
        <sz val="10"/>
        <rFont val="Arial"/>
        <family val="2"/>
      </rPr>
      <t>:</t>
    </r>
  </si>
  <si>
    <r>
      <t xml:space="preserve">Detalle diferencias </t>
    </r>
    <r>
      <rPr>
        <b/>
        <u val="single"/>
        <sz val="10"/>
        <rFont val="Arial"/>
        <family val="2"/>
      </rPr>
      <t>(4)</t>
    </r>
    <r>
      <rPr>
        <u val="single"/>
        <sz val="10"/>
        <rFont val="Arial"/>
        <family val="2"/>
      </rPr>
      <t>:</t>
    </r>
  </si>
  <si>
    <r>
      <t xml:space="preserve">Ingresos devengados     </t>
    </r>
    <r>
      <rPr>
        <b/>
        <sz val="10"/>
        <rFont val="Arial"/>
        <family val="2"/>
      </rPr>
      <t>(A)</t>
    </r>
  </si>
  <si>
    <r>
      <t xml:space="preserve">Diferencia              </t>
    </r>
    <r>
      <rPr>
        <b/>
        <sz val="10"/>
        <rFont val="Arial"/>
        <family val="2"/>
      </rPr>
      <t>(A - C)</t>
    </r>
  </si>
  <si>
    <t>Corresponde a la transferencia de créditos presupuestales del Fondo de Capital de Trabajo aprobada por Acuerdo 322 del Comité de Representantes a efectos de desarrollar el proyecto a favor de Ecuador "Generación de Redes de microempresas asociativas para la comercialización".</t>
  </si>
  <si>
    <r>
      <t xml:space="preserve">Diferencia                                   </t>
    </r>
    <r>
      <rPr>
        <b/>
        <sz val="10"/>
        <rFont val="Arial"/>
        <family val="2"/>
      </rPr>
      <t>(A - B)</t>
    </r>
  </si>
  <si>
    <t>Programa a favor de Ecuador (Acuerdo 322)</t>
  </si>
  <si>
    <t>CONSULTORA SEPROYCO (vencimiento según contrato: 12/07/2011)</t>
  </si>
  <si>
    <t>16/11</t>
  </si>
  <si>
    <t>VI-3-  Res. 373 - 2011</t>
  </si>
  <si>
    <t>5</t>
  </si>
  <si>
    <t>Transferencias</t>
  </si>
  <si>
    <t>BARCELÓ, MARCEL (vencimiento según contrato: 15/11/2011)</t>
  </si>
  <si>
    <t>22/11</t>
  </si>
  <si>
    <t>27/11</t>
  </si>
  <si>
    <t>SÁGITTA COMPAÑÍA LTDA. (vencimiento según contrato: 2/05/2012)</t>
  </si>
  <si>
    <t>DALSTON, CÉSAR (vencimiento según contrato: 17/01/2012)</t>
  </si>
  <si>
    <t>35/11</t>
  </si>
  <si>
    <t xml:space="preserve">entre </t>
  </si>
  <si>
    <t>Capacitación para la preparación de indicadores de comercio exterior -  Nota de la Representación RP/ALADI-MERCOSUR/4/Nº 47/11</t>
  </si>
  <si>
    <t>subrubros</t>
  </si>
  <si>
    <t>Gasto prom.:</t>
  </si>
  <si>
    <t>HEXAGON CONSULTORES (vencimiento según contrato: 9/04/2012)</t>
  </si>
  <si>
    <t>37/11</t>
  </si>
  <si>
    <t>Monto reservado al cierre 2011</t>
  </si>
  <si>
    <t>Afectación del crédito en 2012</t>
  </si>
  <si>
    <t>Monto compromet./ utilizado en 2012</t>
  </si>
  <si>
    <t>Programa a favor de BOLIVIA</t>
  </si>
  <si>
    <t>Impulso y fortalecimiento de Pymes Exportadoras del Ecuador</t>
  </si>
  <si>
    <t>Indicadores de Comercio Exterior - Segunda Fase</t>
  </si>
  <si>
    <t>Diagnóstico y funcionamiento de los mercados Mayoristas y Minoristas como base para el Diseño de un Sistema de Informaciones de Mercados Nacionales</t>
  </si>
  <si>
    <t>Marcel Barceló - misión en el marco de su contrato (otros gastos)</t>
  </si>
  <si>
    <t>Apoyo para la implementación del Nomenclador de Servicios de Paraguay</t>
  </si>
  <si>
    <t xml:space="preserve">Apoyo al proceso de implementación  de las Políticas de marca para el fortalecimiento del sistema comercial de productos Salinerito (misiones en el marco del Contrato con Hexagon Consultores) </t>
  </si>
  <si>
    <t>S I S T E M A   D E   A P O Y O   A   L O S   P M D E R - RESERVAS 2011</t>
  </si>
  <si>
    <t>ESTADO DE EJECUCIÓN DEL PRESUPUESTO 2012</t>
  </si>
  <si>
    <t>Asignación presupuestal Resolución 392</t>
  </si>
  <si>
    <t>DE LA EJECUCIÓN PRESUPUESTAL 2011</t>
  </si>
  <si>
    <t>Presupuesto 2012</t>
  </si>
  <si>
    <t>ESTADO DE LOS PAGOS DE CONTRATOS DE CONSULTORES SUSCRITOS DURANTE LA EJECUCIÓN 2012</t>
  </si>
  <si>
    <t>Pagos 2012</t>
  </si>
  <si>
    <t>IICA (vencimiento según contrato: 12/10/2012)</t>
  </si>
  <si>
    <t>01/12</t>
  </si>
  <si>
    <t>VI-1-  Res. 392 - 2012</t>
  </si>
  <si>
    <t>Astrid Weiler (vencimiento según contrato: 15/04/2012)</t>
  </si>
  <si>
    <t>02/12</t>
  </si>
  <si>
    <t>CALLORDA, ARIEL (vencimiento según contrato: 30/04/2012)</t>
  </si>
  <si>
    <t>38/11</t>
  </si>
  <si>
    <t>VII-10-  Res. 392 - 2012</t>
  </si>
  <si>
    <t>Subrubro 2.3 - Consultores</t>
  </si>
  <si>
    <t>Actividad</t>
  </si>
  <si>
    <t>Afectación del crédito en 2011 y 2012</t>
  </si>
  <si>
    <t>- Misión en el marco del proyecto, consultor R.Salazar (US$ 105, enero)</t>
  </si>
  <si>
    <t>- Contrato Consultora IICA - (US$ 15.000, enero)</t>
  </si>
  <si>
    <t>- Contrato Consultor Astrid Weiler - (US$ 6.000, enero)</t>
  </si>
  <si>
    <t>- Tercera Misión del Consultor César Dalston - (US$ 1.575, enero)</t>
  </si>
  <si>
    <t>Presupuesto ALADI/CR/Res. 392</t>
  </si>
  <si>
    <t>- Consultora Seproyco - (US$ 5.000, marzo 2011)</t>
  </si>
  <si>
    <t>- Misión CEPAL - Mariano Álvarez (US$ 1.910, octubre 2011)</t>
  </si>
  <si>
    <t>- Misión CEPAL - José Durán (US$ 1.910, octubre 2011)</t>
  </si>
  <si>
    <t>- Consultora Seproyco (honorarios, US$ 8.000, mayo 2011)</t>
  </si>
  <si>
    <t>-</t>
  </si>
  <si>
    <t>Curso "Tecnologías Sociales", apoyo a una funcionaria del Sector Recursos Humanos.</t>
  </si>
  <si>
    <t>Gastos por cese cargo T-6</t>
  </si>
  <si>
    <t xml:space="preserve">Indemnización por cese cargo T-5 (Art. 69, Resolución 311) </t>
  </si>
  <si>
    <t>07/12</t>
  </si>
  <si>
    <t>Muñoz, Rodrigo (vencimiento según contrato: 14/03/2012)</t>
  </si>
  <si>
    <t>V-12-  Res. 373 - 2011</t>
  </si>
  <si>
    <t>Objeto: El consultor deberá realizar las modificaciones de los códigos fuentes del SCOD para brindar mayor nivel de seguridad y nevas funcionalidades en el sistema.</t>
  </si>
  <si>
    <t>- Misión en el marco del proyecto, consultor R.Salazar (US$ 140, febrero)</t>
  </si>
  <si>
    <t>-Diferencia de cambio facturación retenciones</t>
  </si>
  <si>
    <t xml:space="preserve">-1/3 Prima seguro de vida exfuncionaria, retenido y no cobrado  </t>
  </si>
  <si>
    <t>SORIANO, GUSTAVO (vencimiento según contrato: 30/05/2012)</t>
  </si>
  <si>
    <t>9/12</t>
  </si>
  <si>
    <t>VII-1-  Res. 392 - 2012</t>
  </si>
  <si>
    <t>GARCÍA, SANTIAGO (vencimiento según contrato: 31/08/2012)</t>
  </si>
  <si>
    <t>10/12</t>
  </si>
  <si>
    <t>- Servicios de traducción correspondiente a la primera parte del Manual de Notas Explicativas - (US$ 1.166,51 en febrero y US$ 1.475,81 en marzo)</t>
  </si>
  <si>
    <t>- Misión en el marco del proyecto, consultor R.Salazar (US$ 395, marzo)</t>
  </si>
  <si>
    <t xml:space="preserve">-Flete a remate de bienes en desuso </t>
  </si>
  <si>
    <t xml:space="preserve">- Flete a remate de bienes en desuso </t>
  </si>
  <si>
    <t>- Diferencia de cambio facturación retenciones</t>
  </si>
  <si>
    <t xml:space="preserve">- 1/3 Prima seguro de vida exfuncionaria, retenido y no cobrado  </t>
  </si>
  <si>
    <t>- Intereses plazos fijos  2011 vencidos en 2012</t>
  </si>
  <si>
    <t>- Ajuste tipo de cambio facturación bandejas obsequio y almuerzos</t>
  </si>
  <si>
    <t>Curso "Trade and Climate Change" (UNITAR), para un funcionario del Departamento de Acuerdos y Negociaciones</t>
  </si>
  <si>
    <t>Impresión folletos institucionales</t>
  </si>
  <si>
    <t>Gastos por cese cargo FI-3</t>
  </si>
  <si>
    <t>- Misión Consultor Marcel Barceló - (US$ 450, abril)</t>
  </si>
  <si>
    <t>Programa a favor de Bolivia</t>
  </si>
  <si>
    <t>ROMERO GOMEZ, HIANNY RUBEN (vencimiento según contrato: 30/06/2012)</t>
  </si>
  <si>
    <t>11/12b</t>
  </si>
  <si>
    <t>Objeto: "Apoyo al proceso de Implementación de la Nomenclatura Nacional de Servicios de Paraguay", formulado por el Ministerio de Industria y Comercio de Paraguay. Nota:   El proyecto finalizó y se publicó el Informe Final (Publicación DAPMDER nº 30).</t>
  </si>
  <si>
    <t>Comprometido</t>
  </si>
  <si>
    <t>Impresión folletos y Roll up Observatorio América Latina y Asia Pacífico</t>
  </si>
  <si>
    <t>Curso Gestión de Bibliotecas con Sistema Integrado PMB (Escuela Universitaria de Bibliotecología y Ciencias Afines), para una funcionaria del Departamento de Información y Estadísticas - Biblioteca</t>
  </si>
  <si>
    <t>Curso Administrador de Linux Básico (POROYEMIL S.R.L.), para dos funcionarios del Departamento de Información y Estadísticas</t>
  </si>
  <si>
    <t>SILVEIRA, PILAR (vencimiento según contrato: 17/06/2012)</t>
  </si>
  <si>
    <t>12/12</t>
  </si>
  <si>
    <t>Objeto: Desarrollar el proyecto "Fortalecimiento de la gestión de pequeñas y medianas industrias de Azuay", formulado por la Cámara de la Pequeña Industria del Azuay (CAPIA).  Nota:  El proyecto finalizó y se publicó el Informe Final (Publicación DAPMDER nº 29).</t>
  </si>
  <si>
    <t xml:space="preserve">Objeto: El consultor deberá elaborar y presentar una propuesta de reorganización de cargos de la Secretaría General, con base en principios de racionalidad de recursos y eficiencia en las funciones, a fin de coadyuvar en el logro de los objetivos de la Institución. Nota: el Cosultor entregó el Informe Final.
</t>
  </si>
  <si>
    <t>IGLESIAS, MAURICIO (vencimiento según contrato: 31/12/2012)</t>
  </si>
  <si>
    <t>15/12</t>
  </si>
  <si>
    <t>Objeto: El consultor deberá asesorar jurídicamente a la SG en la defensa de sus intereses ante conflictos de carácter laboral que eventualmente se presenten ante el Comité de Reconsideración y/o ante el Tribunal Administrativo. Queda exceptuado del presente contrato el patrocinio letrado ante la Justicia Uruguaya. Asimismo, deberá asesorar al Secretario General en la elaboración de las normas generales sobre personal, su reglamentación y ante cualquier conflicto derivado de la normativa presente o futura. El consultor actuará como instructor sumariante en las investigaciones administrativas o sumarios que deba realizar la Secretaría General. Durante el período de su contratación el consultor deberá estar a la orden para cualquier consulta que sea necesario formularle en relación a directivas a impartir por el Secretario General.</t>
  </si>
  <si>
    <t>- Venta Bienes en desuso (descuento por nómina)</t>
  </si>
  <si>
    <t>- Gastos relacionados venta auto de la ALADI</t>
  </si>
  <si>
    <t>- Contrato Santiago García (US$ 15.000, abril)</t>
  </si>
  <si>
    <t>Libro "ALADI 30 años de Integración Comercial"</t>
  </si>
  <si>
    <t>Compra de CD's imprimibles para entregar en Semana Pyme México 2012</t>
  </si>
  <si>
    <t>Roll up Pymeslatinas</t>
  </si>
  <si>
    <t>Roll up institucional (español y portugués)</t>
  </si>
  <si>
    <t>Seminario "La Asociación Latinoamericana de Integración: Una plataforma para la integración de América Latina y el Caribe" llevado a cabo el 26 de julio</t>
  </si>
  <si>
    <t>CMI International Group (vencimiento según contrato: 24/08/2012)</t>
  </si>
  <si>
    <t>18/12</t>
  </si>
  <si>
    <t>- Devolución viáticos Misión Consultor Marcel Barceló - (-US$ 450, julio)</t>
  </si>
  <si>
    <t>- Volcado al Fondo de Capital de Trabajo (US$ 2.233, julio)</t>
  </si>
  <si>
    <t>- Misión en el marco del proyecto, consultor R.Salazar (US$ 345, junio)</t>
  </si>
  <si>
    <t>- Misión en el marco del proyecto, consultor R.Salazar (US$ 362, mayo)</t>
  </si>
  <si>
    <t>Curso Gestión profesional de Recursos Humanos (MAGISTERIAL) para dos funcionarias del Sector Recursos Humanos y del Sector Finanzas y Control</t>
  </si>
  <si>
    <t>Curso Administrador Avanzado de Linux Básico (POROYEMIL S.R.L.), para un funcionario del Departamento de Información y Estadísticas</t>
  </si>
  <si>
    <t>Traslado material institucional y gastos adicionales para Stand institucional en la Semana Pyme  México 2012</t>
  </si>
  <si>
    <t>FUENTES, CARLOS (vencimiento según contrato: 13/02/2013)</t>
  </si>
  <si>
    <t>20/12</t>
  </si>
  <si>
    <t>- Volcado al Fondo de Capital de Trabajo (US$ 1.353, agosto)</t>
  </si>
  <si>
    <t>Traslado material institucional y gastos adicionales para Stand institucional en la Expoalimentaria en Lima-Perú</t>
  </si>
  <si>
    <t>Curso Herramientas básicas para el análisis de coyuntura (UPAE), para una funcionaria del Departamento de Cooperación y Formación</t>
  </si>
  <si>
    <t>Taller de Macros (Instituto Politécnico BIOS) para una funcionaria del Departamento de Información y Estadísticas</t>
  </si>
  <si>
    <t>23/12</t>
  </si>
  <si>
    <t>OEC - Organización Especializada en Capacitación (vencimiento según contrato: 14/01/2013)</t>
  </si>
  <si>
    <t>FUNDACIÓN S2M (vencimiento según contrato: 15/02/2013)</t>
  </si>
  <si>
    <t>26/12</t>
  </si>
  <si>
    <t>- Misión consultores CEPAL - (US$ 6.240, setiembre)</t>
  </si>
  <si>
    <t>Objeto: Incrementar las capacidades en técnicas de negociación, utilizando la “Teoría y Herramientas del Proyecto de Negociación de Harvard”, que permitan aumentar la efectividad de los técnicos paraguayos en negociaciones internacionales.                                                                                  Nota:   Se realizó la capacitación y se aprobó el informe presentado por CMI.</t>
  </si>
  <si>
    <t>Impresión folletos Centro Virtual de Formación en Integración y Comercio</t>
  </si>
  <si>
    <t>Curso de Accesibilidad Web y WCAG 2,0 (CONCRETA), para una funcionaria del Departamento de Información y Estadísticas</t>
  </si>
  <si>
    <t>Curso de Diseño Gráfico (Instituto Politécnico BIOS), para un funcionario de la Oficina de Asuntos Institucionales y Comunicación</t>
  </si>
  <si>
    <t>- Misión de la Consultora Adriana Rivera (US$ 1.745, octubre)</t>
  </si>
  <si>
    <t xml:space="preserve">Objeto: Apoyo para la implementación del Nomenclador de Servicios de Paraguay.                                                        Nota:  Las actividades  finalizaron y se realizó el pago final a la consultora.  </t>
  </si>
  <si>
    <t xml:space="preserve">Objeto: Apoyar en los procesos  de negociaciones comerciales internacionales del Viceministerio de Comercio Exterior e Integración bajo la tuición del Ministerio de Relaciones Exteriores del Estado Plurinacional de Bolivia, a fin de contribuir al diseño de planteamientos técnicos y propuestas de posiciones negociadoras y apoyar la formulación y la sustentación de estrategias de política nacional en el marco de las negociaciones internacionales y la integración.                                                                                         Nota:  El consultor inició la consultoría y presentó el primer informe, luego de lo cual con fecha 23/5/12 renunció a su contrato.  </t>
  </si>
  <si>
    <t>Objeto: Apoyar en los procesos  de negociaciones comerciales internacionales del Viceministerio de Comercio Exterior e Integración bajo la tuición del Ministerio de Relaciones Exteriores del Estado Plurinacional de Bolivia, a fin de contribuir al diseño de planteamientos técnicos y propuestas de posiciones negociadoras y apoyar la formulación y la sustentación de estrategias de política nacional en el marco de las negociaciones internacionales y la integración.            Nota: El trabajo está avanzando de acuerdo con lo programado.</t>
  </si>
  <si>
    <t>Objeto: Asistencia técnica y capacitación de la CECJ en costeo y determinación de precios (OE1),  elaboración participativa de la Propuesta de Plan Estratégico Comercial 2012– 2016 (OE2), y   realización de dos Talleres de socialización de resultados  (OE3).     Nota: El proyecto está en ejecución.</t>
  </si>
  <si>
    <t>(2) Compras en trámite</t>
  </si>
  <si>
    <t>Traducción texto "Mecanismos Regionales y Subregionales de Integración en América Latina y el Caribe" CELAC/ALADI</t>
  </si>
  <si>
    <t>Presentación Libro FAO/ALADI - "Seguridad Alimentaria y Comercio Intrarregional de Alimentos en la ALADI"</t>
  </si>
  <si>
    <t>Curso Jboss Application Administration (Tisor SA), para dos funcionarios del Departamento de Información y Estadísticas</t>
  </si>
  <si>
    <t>Curso Adobe Fireworks CS6 (Instituto Politécnico BIOS), para un funcionario del Departamento de Información y Estadísticas</t>
  </si>
  <si>
    <t>Curso Realizador Profesional Web (Instituto Politécnico BIOS), para un funcionario del Departamento de Información y Estadísticas</t>
  </si>
  <si>
    <t>RODRÍGUEZ, CLARISSA (vencimiento según contrato: 23/03/2013)</t>
  </si>
  <si>
    <t>31/12</t>
  </si>
  <si>
    <t>- Misión de la Consultora Lilian Guio (US$ 958,85, noviembre)</t>
  </si>
  <si>
    <t>- Venta Bienes en desuso (canje por puesta a punto guillotina)</t>
  </si>
  <si>
    <t xml:space="preserve">Objeto: Apoyar el proceso de crecimiento y desarrollo de sectores productivos del Ecuador, en especial de las PyMEs, por medio de acciones tendientes al fortalecimiento de la  gestión de estas organizaciones a fin de que avancen en su proceso de diversificación de mercados para los productos de su línea de producción.  Nota:  El proyecto finalizó y el Informe Final presentado por el consultor fue aprobado por la Secretaría y la contraparte.  </t>
  </si>
  <si>
    <t xml:space="preserve">Objeto: Diagnóstico y funcionamiento de los mercados Mayoristas y Minoristas como base para el Diseño de un Sistema de Informaciones de Mercados Nacionales. Nota: El proyecto finalizó y la Secretaría y la contraparte aprobaron el Informe Final.     </t>
  </si>
  <si>
    <t xml:space="preserve">Objeto: Fortalecer el capital humano del sector público del Estado Plurinacional de Bolivia, mediante la capacitación y asistencia técnica en los procesos de certificación y normas de origen. El objetivo específico del proyecto es desarrollar una capacitación y actualización  en  el  tema   reglas   de origen atendiendo tanto a sus aspectos teóricos y prácticos, contemplando diversos conceptos incorporados en los regímenes de origen vigentes en los acuerdos suscritos al amparo del TM80.                                                        Nota: La capacitación se realizó y se aprobó el informe final presentado por la consultora. </t>
  </si>
  <si>
    <t>Res. 392 y 398</t>
  </si>
  <si>
    <t>ENERO - DICIEMBRE 2012</t>
  </si>
  <si>
    <t>DEL PERÍODO ENERO - DICIEMBRE 2012</t>
  </si>
  <si>
    <t xml:space="preserve">          Se establece como orientación para el análisis la consideración de un promedio mensual de consumo. Este promedio corresponde a un doceavo de consumo por mes transcurrido; esto es sólo una forma de guía ya que en el desarrollo normal de las actividades de una organización no es posible asegurar que se gaste exactamente un doceavo de su presupuesto por mes. Con relación al análisis de la desviación del consumo respecto al promedio que se fija como estándar, se entiende que al 31 de diciembre los subrubros deberían haber alcanzado el 100% de ejecución. Los subrubros que presentan un porcentaje de desviación positivo, son aquellos en los que se ha gastado menos que lo esperado. </t>
  </si>
  <si>
    <t>Gastos realizados en el período enero - diciembre 2012</t>
  </si>
  <si>
    <t>Crédito presupuestal disponible al 31/12/2012</t>
  </si>
  <si>
    <t>Roll up Servicios de Apoyo al Empresario y Pymeslatinas</t>
  </si>
  <si>
    <t>Lapiceras institucionales y promocionales Pymeslatinas, y mini banners institucionales</t>
  </si>
  <si>
    <t>Impresión folletos Servicios de Apoyo al Empresario y Pymeslatinas</t>
  </si>
  <si>
    <t>Compra de CD's imprimibles para información promocional Pymeslatinas y Servicios de Apoyo al Empresario</t>
  </si>
  <si>
    <t>Reserva para difusión proyecto COD</t>
  </si>
  <si>
    <t>Reserva para impresión de las publicaciones "Análisis Comparativo de los modelos de Convenios de Doble Tributación en Materia de Comercio de Servicios Profesionales" y "Negociaciones Internacionales en materia de Inversión"</t>
  </si>
  <si>
    <t>Taller de capacitación linux SCOD (Consultor Rodrigo Muñóz), para diez funcionarios del Departamento de Información y Estadísticas</t>
  </si>
  <si>
    <t>Reserva para dar continuidad a la capacitación de los funcionarios de las diferentes áreas</t>
  </si>
  <si>
    <t>DE ENERO-DICIEMBRE 2012 Y LA CORRESPONDIENTE AL MISMO PERÍODO</t>
  </si>
  <si>
    <t>Enero - Diciembre</t>
  </si>
  <si>
    <t>Situación al 31 de diciembre de 2012</t>
  </si>
  <si>
    <t>1) Pagos pendientes al 31 de diciembre de 2012 de los Contratos firmados en 2011 con créditos del Presupuesto 2010</t>
  </si>
  <si>
    <t>2) Pagos pendientes al 31 de diciembre de 2012 de los Contratos firmados en 2011 con créditos del Presupuesto 2011</t>
  </si>
  <si>
    <t>3) Pagos pendientes al 31 de diciembre de  2012 de los Contratos firmados en 2011 con créditos del Fondo de Capital de Trabajo</t>
  </si>
  <si>
    <t>1) Pagos pendientes al 31 de diciembre de 2012 de los Contratos firmados en 2012 con créditos del Presupuesto 2011</t>
  </si>
  <si>
    <t>2) Pagos pendientes al 31 de diciembre de 2012 de los Contratos firmados en 2012 con créditos del Presupuesto 2012</t>
  </si>
  <si>
    <t>- Volcado al Fondo de Capital de Trabajo - (US$ 1.850, diciembre 2012)</t>
  </si>
  <si>
    <t>- Volcado al Fondo de Capital de Trabajo - (US$ 1.180, diciembre 2012)</t>
  </si>
  <si>
    <t>El saldo del proyecto a favor de Bolivia no ha sido volcado al Fondo de Capital de Trabajo al 31/12/12, a solicitud del Viceministro de Comercio Exterior e Integración del Ministerio de Relaciones Exteriores de Bolivia según nota VCEI 001168 de fecha 18 de junio de 2012 y de la Representación de Bolivia según nota REPBOL/051/12 de fecha 12 de diciembre de 2012.</t>
  </si>
  <si>
    <t>- Volcado al Fondo de Capital de Trabajo (US$ 8,56, diciembre)</t>
  </si>
  <si>
    <t>- Misión en el marco del proyecto, consultor S. García (US$ 741,44, diciembre)</t>
  </si>
  <si>
    <t>- Volcado al Fondo de Capital de Trabajo (US$ 1.260, diciembre)</t>
  </si>
  <si>
    <t>- Volcado al Fondo de Capital de Trabajo (US$ 1.000, diciembre)</t>
  </si>
  <si>
    <t>S I S T E M A   D E   A P O Y O   A   L O S   P M D E R - RESERVAS 2012</t>
  </si>
  <si>
    <t>Con base en las actividades iniciadas en 2012 y aquellas planificadas por el Departamento de Apoyo a los Países de Menor Desarrollo Económico Relativo y teniendo en cuenta lo dispuesto en el literal d) del artículo 25 del Anexo I de la Resolución 399, se detallan a continuación los créditos reservados del presupuesto 2012 que serán ejecutados en el primer semestre 2013, momento a partir del cual, de no ser utilizados, pasarán automáticamente al Fondo de Capital de Trabajo.</t>
  </si>
  <si>
    <t>Monto reservado al cierre 2012</t>
  </si>
  <si>
    <t>Afectación del crédito en 2013</t>
  </si>
  <si>
    <t>Apoyo al Viceministro de Bolivia en materia de Negociaciones e Inserción Regional</t>
  </si>
  <si>
    <t>Factibilidad de Comercialización del Producto Chochines en Mercados de Latinoamérica (Ethniessence Cía.Ltda)</t>
  </si>
  <si>
    <t>Fortalecimiento de la Pyme comunitaria Jambi Kiwa para lograr un mejor acceso a mercados especiales - 1a. Etapa</t>
  </si>
  <si>
    <t>Programa de desarrollo gerencial para pequeñas y medianas industrias de Azuay</t>
  </si>
  <si>
    <t>Plan de imagen corporativa de la marca Sumak Maki y capacitación - Cámara Artesanal de Pichincha</t>
  </si>
  <si>
    <t>Fundación S2M- misión en el marco de su contrato (otros gastos)</t>
  </si>
  <si>
    <t>Taller de Capacitación en el tema Reglas de Origen (otros gastos)</t>
  </si>
  <si>
    <t>Metodología para recopilar informaciones y banco de datos sobre estadísticas de servicios</t>
  </si>
  <si>
    <t>Apoyo al Fortalecimiento de la incubadora de empresas de la Universidad Nacional de Asunción - INCUNA</t>
  </si>
  <si>
    <t>Proyecto "Aprovechamiento de las preferencias en los Acuerdos Comerciales y Esquemas de Negociación Comercial en los que participa la República del Paraguay"</t>
  </si>
  <si>
    <t>SENATUR - misiones en el marco de los contratos 31/12 de Clarissa Rodríguez y 23/12 de OEC (otros gastos)</t>
  </si>
  <si>
    <t>Monto comprometido/ utilizado en 2013</t>
  </si>
  <si>
    <t>AL 31 DE DICIEMBRE DE 2012</t>
  </si>
  <si>
    <t>-Gastos correo envío material (a cancelar en enero)</t>
  </si>
  <si>
    <t>- Intereses plazos fijos 2012 a vencer en 2012</t>
  </si>
  <si>
    <t>- Ajuste saldo contable sociedades médicas</t>
  </si>
  <si>
    <t>- Gasto transferencia bancaria, pago honorarios consultor</t>
  </si>
  <si>
    <t>Objeto: Desarrollar el proyecto "Apoyo al proceso de implementación de las Políticas de marca para el fortalecimiento del sistema comercial de productos Salinerito". Nota: El proyecto finalizó y se aprobó el Informe Final presentado por Hexagon.</t>
  </si>
  <si>
    <t>Objeto:  "Fortalecimiento de las Capacidades Técnicas de funcionarios del MAG en cadenas productivas como parte del proceso de fortalecimiento de la competitividad del Paraguay".                                                     Nota:  El proyecto finalizó y se aprobó el Informe Final presentado por el consultor.</t>
  </si>
  <si>
    <t xml:space="preserve">Objeto: Capacitación en Formulación de Proyectos del Sector Turismo con la Metodología del Marco Lógico: dirigida a Secretarios de Turismo de las Gobernaciones, Municipios, actores locales (Asociaciones, comisiones, consejos, otros gremios de soporte para la actividad turística) y a funcionarios de la SENATUR. Nota: El proyecto finalizó y el Informe Final fue aprobado por la contraparte. </t>
  </si>
  <si>
    <t xml:space="preserve">Objeto: Capacitación en Diseño y Gestión de Políticas Públicas para el Desarrollo del Turismo Comunitario Sostenible: dirigida a Secretarios de Turismo de las Gobernaciones, Municipios, actores locales (Asociaciones, comisiones, consejos, otros gremios de soporte para la actividad turística) y a funcionarios de la SENATUR. Nota:  La consultora está realizando las actividades previstas. </t>
  </si>
  <si>
    <t>Estudios sobre condiciones y potencialidades de explotación de los puertos, zonas y depósitos francos de Bolivia en el puerto de Rosario</t>
  </si>
  <si>
    <t xml:space="preserve">Objeto:  Preparar una Guía relativa  a la presentación de productos de las microempresas ecuatorianas y realizar talleres de capacitación en base a esta Guía, en el marco del proyecto "Presentación de productos elaborados por las microempresas ecuatorianas para el intercambio comercial con países de ALADI". Nota: El 30 de noviembre se realizó el primer Taller de difusión de la Guía de Presentación de Productos. </t>
  </si>
  <si>
    <t xml:space="preserve">Objeto: Preparar una Guía relativa  a la conformación de redes asociativas y realizar talleres de capacitación en base a esta Guía, en el marco del proyecto "Generación de redes asociativas de microempresas para la comercialización", formulado por la Cámara de Microempresas de Quito.                        Nota:  El 30 de noviembre se realizó el primer Taller de difusión de la Guía de Redes Asociativas de Microempresas para la comercialización.  </t>
  </si>
  <si>
    <t>ñ</t>
  </si>
  <si>
    <r>
      <t xml:space="preserve">Ingresos  en efectivo totales (Estado de Disponibilidades) - pág 7 (ALADI/SEC/di 2525)                            </t>
    </r>
    <r>
      <rPr>
        <b/>
        <sz val="10"/>
        <rFont val="Arial"/>
        <family val="2"/>
      </rPr>
      <t>(B)</t>
    </r>
  </si>
  <si>
    <r>
      <t xml:space="preserve">Ingresos  en efectivo 2012                                                                (Estado pág 8 ALADI/SEC/di 2525)                         </t>
    </r>
    <r>
      <rPr>
        <b/>
        <sz val="10"/>
        <rFont val="Arial"/>
        <family val="2"/>
      </rPr>
      <t>(C)</t>
    </r>
  </si>
</sst>
</file>

<file path=xl/styles.xml><?xml version="1.0" encoding="utf-8"?>
<styleSheet xmlns="http://schemas.openxmlformats.org/spreadsheetml/2006/main">
  <numFmts count="35">
    <numFmt numFmtId="5" formatCode="&quot;$U&quot;\ #,##0_);\(&quot;$U&quot;\ #,##0\)"/>
    <numFmt numFmtId="6" formatCode="&quot;$U&quot;\ #,##0_);[Red]\(&quot;$U&quot;\ #,##0\)"/>
    <numFmt numFmtId="7" formatCode="&quot;$U&quot;\ #,##0.00_);\(&quot;$U&quot;\ #,##0.00\)"/>
    <numFmt numFmtId="8" formatCode="&quot;$U&quot;\ #,##0.00_);[Red]\(&quot;$U&quot;\ #,##0.00\)"/>
    <numFmt numFmtId="42" formatCode="_(&quot;$U&quot;\ * #,##0_);_(&quot;$U&quot;\ * \(#,##0\);_(&quot;$U&quot;\ * &quot;-&quot;_);_(@_)"/>
    <numFmt numFmtId="41" formatCode="_(* #,##0_);_(* \(#,##0\);_(* &quot;-&quot;_);_(@_)"/>
    <numFmt numFmtId="44" formatCode="_(&quot;$U&quot;\ * #,##0.00_);_(&quot;$U&quot;\ * \(#,##0.00\);_(&quot;$U&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_-* #,##0\ &quot;Pts&quot;_-;\-* #,##0\ &quot;Pts&quot;_-;_-* &quot;-&quot;\ &quot;Pts&quot;_-;_-@_-"/>
    <numFmt numFmtId="174" formatCode="_-* #,##0\ _P_t_s_-;\-* #,##0\ _P_t_s_-;_-* &quot;-&quot;\ _P_t_s_-;_-@_-"/>
    <numFmt numFmtId="175" formatCode="_-* #,##0.00\ &quot;Pts&quot;_-;\-* #,##0.00\ &quot;Pts&quot;_-;_-* &quot;-&quot;??\ &quot;Pts&quot;_-;_-@_-"/>
    <numFmt numFmtId="176" formatCode="_-* #,##0.00\ _P_t_s_-;\-* #,##0.00\ _P_t_s_-;_-* &quot;-&quot;??\ _P_t_s_-;_-@_-"/>
    <numFmt numFmtId="177" formatCode="_-* #,##0.00\ _P_t_s_-;\-* #,##0.00\ _P_t_s_-;_-* &quot;-&quot;\ _P_t_s_-;_-@_-"/>
    <numFmt numFmtId="178" formatCode="_-&quot;U$S&quot;* #,##0.00_-;\-&quot;U$S&quot;* #,##0.00_-;_-&quot;U$S&quot;* &quot;-&quot;??_-;_-@_-"/>
    <numFmt numFmtId="179" formatCode="_-&quot;U$S&quot;* #,##0.00_-;&quot;(U$S&quot;* #,##0.00\)_-;_-&quot;U$S&quot;* &quot;-&quot;??_-;_-@_-"/>
    <numFmt numFmtId="180" formatCode="_-* #,##0.00\ [$€]_-;\-* #,##0.00\ [$€]_-;_-* &quot;-&quot;??\ [$€]_-;_-@_-"/>
    <numFmt numFmtId="181" formatCode="#,##0.000\ _€;\-#,##0.000\ _€"/>
    <numFmt numFmtId="182" formatCode="#,##0.0\ _€;\-#,##0.0\ _€"/>
    <numFmt numFmtId="183" formatCode="#,##0.00_ ;\-#,##0.00\ "/>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dd\ \ mmmm\ \ yyyy"/>
    <numFmt numFmtId="189" formatCode="#,##0.0000\ _€;\-#,##0.0000\ _€"/>
    <numFmt numFmtId="190" formatCode="0.0"/>
  </numFmts>
  <fonts count="84">
    <font>
      <sz val="12"/>
      <color indexed="29"/>
      <name val="Helv"/>
      <family val="0"/>
    </font>
    <font>
      <b/>
      <sz val="10"/>
      <name val="Arial"/>
      <family val="0"/>
    </font>
    <font>
      <i/>
      <sz val="10"/>
      <name val="Arial"/>
      <family val="0"/>
    </font>
    <font>
      <b/>
      <i/>
      <sz val="10"/>
      <name val="Arial"/>
      <family val="0"/>
    </font>
    <font>
      <sz val="10"/>
      <name val="Arial"/>
      <family val="2"/>
    </font>
    <font>
      <sz val="11"/>
      <name val="Arial"/>
      <family val="2"/>
    </font>
    <font>
      <u val="single"/>
      <sz val="11"/>
      <name val="Arial"/>
      <family val="2"/>
    </font>
    <font>
      <b/>
      <u val="single"/>
      <sz val="11"/>
      <name val="Arial"/>
      <family val="2"/>
    </font>
    <font>
      <b/>
      <sz val="11"/>
      <name val="Arial"/>
      <family val="2"/>
    </font>
    <font>
      <sz val="12"/>
      <color indexed="8"/>
      <name val="Helv"/>
      <family val="0"/>
    </font>
    <font>
      <sz val="14"/>
      <color indexed="29"/>
      <name val="Arial"/>
      <family val="2"/>
    </font>
    <font>
      <sz val="12"/>
      <name val="Helv"/>
      <family val="0"/>
    </font>
    <font>
      <u val="single"/>
      <sz val="10"/>
      <color indexed="9"/>
      <name val="Arial"/>
      <family val="2"/>
    </font>
    <font>
      <u val="single"/>
      <sz val="12"/>
      <color indexed="8"/>
      <name val="Arial"/>
      <family val="2"/>
    </font>
    <font>
      <sz val="12"/>
      <color indexed="8"/>
      <name val="Arial"/>
      <family val="2"/>
    </font>
    <font>
      <sz val="10"/>
      <color indexed="8"/>
      <name val="Arial"/>
      <family val="2"/>
    </font>
    <font>
      <b/>
      <sz val="10"/>
      <color indexed="8"/>
      <name val="Arial"/>
      <family val="2"/>
    </font>
    <font>
      <sz val="9.5"/>
      <color indexed="8"/>
      <name val="Arial"/>
      <family val="2"/>
    </font>
    <font>
      <sz val="9.5"/>
      <name val="Arial"/>
      <family val="2"/>
    </font>
    <font>
      <sz val="10"/>
      <color indexed="29"/>
      <name val="Helv"/>
      <family val="0"/>
    </font>
    <font>
      <u val="single"/>
      <sz val="20"/>
      <name val="Arial"/>
      <family val="2"/>
    </font>
    <font>
      <b/>
      <u val="single"/>
      <sz val="12"/>
      <name val="Arial"/>
      <family val="2"/>
    </font>
    <font>
      <sz val="10.5"/>
      <name val="Arial"/>
      <family val="2"/>
    </font>
    <font>
      <b/>
      <u val="single"/>
      <sz val="10.5"/>
      <name val="Arial"/>
      <family val="2"/>
    </font>
    <font>
      <sz val="10.5"/>
      <color indexed="29"/>
      <name val="Arial"/>
      <family val="2"/>
    </font>
    <font>
      <sz val="11"/>
      <color indexed="10"/>
      <name val="Arial"/>
      <family val="2"/>
    </font>
    <font>
      <sz val="16"/>
      <color indexed="29"/>
      <name val="Helv"/>
      <family val="0"/>
    </font>
    <font>
      <i/>
      <u val="single"/>
      <sz val="12"/>
      <name val="Arial"/>
      <family val="2"/>
    </font>
    <font>
      <b/>
      <sz val="9.5"/>
      <name val="Arial"/>
      <family val="2"/>
    </font>
    <font>
      <b/>
      <u val="single"/>
      <sz val="9.5"/>
      <name val="Arial"/>
      <family val="2"/>
    </font>
    <font>
      <sz val="9.5"/>
      <color indexed="29"/>
      <name val="Arial"/>
      <family val="2"/>
    </font>
    <font>
      <u val="single"/>
      <sz val="9.5"/>
      <name val="Arial"/>
      <family val="2"/>
    </font>
    <font>
      <u val="single"/>
      <sz val="10"/>
      <color indexed="12"/>
      <name val="Arial"/>
      <family val="2"/>
    </font>
    <font>
      <u val="single"/>
      <sz val="10"/>
      <name val="Arial"/>
      <family val="2"/>
    </font>
    <font>
      <b/>
      <u val="single"/>
      <sz val="10"/>
      <name val="Arial"/>
      <family val="2"/>
    </font>
    <font>
      <sz val="9"/>
      <name val="Arial"/>
      <family val="2"/>
    </font>
    <font>
      <sz val="10"/>
      <name val="Helv"/>
      <family val="0"/>
    </font>
    <font>
      <u val="single"/>
      <sz val="15"/>
      <name val="Arial"/>
      <family val="2"/>
    </font>
    <font>
      <sz val="15"/>
      <name val="Arial"/>
      <family val="2"/>
    </font>
    <font>
      <sz val="15"/>
      <color indexed="29"/>
      <name val="Arial"/>
      <family val="2"/>
    </font>
    <font>
      <sz val="15"/>
      <color indexed="29"/>
      <name val="Helv"/>
      <family val="0"/>
    </font>
    <font>
      <sz val="15"/>
      <name val="Helv"/>
      <family val="0"/>
    </font>
    <font>
      <sz val="8"/>
      <color indexed="29"/>
      <name val="Helv"/>
      <family val="0"/>
    </font>
    <font>
      <b/>
      <sz val="12"/>
      <color indexed="29"/>
      <name val="Helv"/>
      <family val="0"/>
    </font>
    <font>
      <b/>
      <sz val="12"/>
      <name val="Helv"/>
      <family val="0"/>
    </font>
    <font>
      <b/>
      <sz val="10.5"/>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rgb="FFFF0000"/>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bottom style="thin"/>
    </border>
    <border>
      <left>
        <color indexed="63"/>
      </left>
      <right>
        <color indexed="63"/>
      </right>
      <top style="thin"/>
      <bottom style="thin"/>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color indexed="63"/>
      </bottom>
    </border>
    <border>
      <left style="thin"/>
      <right>
        <color indexed="63"/>
      </right>
      <top style="thin"/>
      <bottom style="thin"/>
    </border>
    <border>
      <left style="medium"/>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color indexed="8"/>
      </left>
      <right style="thin"/>
      <top>
        <color indexed="63"/>
      </top>
      <bottom>
        <color indexed="63"/>
      </bottom>
    </border>
    <border>
      <left style="thin">
        <color indexed="8"/>
      </left>
      <right style="thin"/>
      <top style="thin">
        <color indexed="8"/>
      </top>
      <bottom style="thin">
        <color indexed="8"/>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medium"/>
      <top style="medium"/>
      <bottom style="medium"/>
    </border>
    <border>
      <left style="medium"/>
      <right style="thin"/>
      <top style="medium"/>
      <bottom style="medium"/>
    </border>
    <border>
      <left style="thin"/>
      <right style="thin">
        <color indexed="8"/>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style="thin"/>
      <top style="thin"/>
      <bottom>
        <color indexed="63"/>
      </bottom>
    </border>
    <border>
      <left style="thin">
        <color indexed="8"/>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thin"/>
      <bottom style="thin"/>
    </border>
    <border>
      <left>
        <color indexed="63"/>
      </left>
      <right style="thin">
        <color indexed="8"/>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style="thin"/>
      <right>
        <color indexed="63"/>
      </right>
      <top>
        <color indexed="63"/>
      </top>
      <bottom style="thin">
        <color indexed="8"/>
      </bottom>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top style="thin"/>
      <bottom style="thin"/>
    </border>
    <border>
      <left style="thin"/>
      <right style="thin"/>
      <top style="thin">
        <color indexed="8"/>
      </top>
      <bottom style="thin">
        <color indexed="8"/>
      </bottom>
    </border>
    <border>
      <left style="thin"/>
      <right style="thin"/>
      <top style="thin">
        <color indexed="8"/>
      </top>
      <bottom>
        <color indexed="63"/>
      </bottom>
    </border>
    <border>
      <left>
        <color indexed="63"/>
      </left>
      <right style="thin">
        <color indexed="8"/>
      </right>
      <top style="thin"/>
      <bottom>
        <color indexed="63"/>
      </bottom>
    </border>
    <border>
      <left style="thin"/>
      <right style="thin"/>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color indexed="63"/>
      </right>
      <top style="thin"/>
      <bottom>
        <color indexed="63"/>
      </bottom>
    </border>
    <border>
      <left style="thin"/>
      <right>
        <color indexed="63"/>
      </right>
      <top style="medium"/>
      <bottom style="medium"/>
    </border>
  </borders>
  <cellStyleXfs count="71">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180" fontId="0" fillId="0" borderId="0" applyFon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72" fillId="30" borderId="0" applyNumberFormat="0" applyBorder="0" applyAlignment="0" applyProtection="0"/>
    <xf numFmtId="176"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3" fontId="4" fillId="0" borderId="0" applyFont="0" applyFill="0" applyBorder="0" applyAlignment="0" applyProtection="0"/>
    <xf numFmtId="0" fontId="73"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4"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533">
    <xf numFmtId="39" fontId="0" fillId="0" borderId="0" xfId="0" applyAlignment="1">
      <alignment/>
    </xf>
    <xf numFmtId="39" fontId="0" fillId="0" borderId="0" xfId="0" applyAlignment="1" applyProtection="1">
      <alignment/>
      <protection/>
    </xf>
    <xf numFmtId="37" fontId="0" fillId="0" borderId="0" xfId="0" applyNumberFormat="1" applyAlignment="1" applyProtection="1">
      <alignment/>
      <protection/>
    </xf>
    <xf numFmtId="39" fontId="6" fillId="0" borderId="0" xfId="0" applyFont="1" applyAlignment="1" applyProtection="1">
      <alignment horizontal="left"/>
      <protection/>
    </xf>
    <xf numFmtId="39" fontId="5" fillId="0" borderId="0" xfId="0" applyFont="1" applyAlignment="1">
      <alignment/>
    </xf>
    <xf numFmtId="39" fontId="5" fillId="0" borderId="0" xfId="0" applyFont="1" applyAlignment="1">
      <alignment horizontal="centerContinuous"/>
    </xf>
    <xf numFmtId="39" fontId="8" fillId="0" borderId="10" xfId="0" applyFont="1" applyBorder="1" applyAlignment="1" applyProtection="1">
      <alignment horizontal="center"/>
      <protection/>
    </xf>
    <xf numFmtId="39" fontId="5" fillId="0" borderId="10" xfId="0" applyFont="1" applyBorder="1" applyAlignment="1">
      <alignment/>
    </xf>
    <xf numFmtId="39" fontId="5" fillId="0" borderId="10" xfId="0" applyFont="1" applyBorder="1" applyAlignment="1" applyProtection="1">
      <alignment horizontal="center"/>
      <protection/>
    </xf>
    <xf numFmtId="39" fontId="5" fillId="0" borderId="10" xfId="0" applyFont="1" applyBorder="1" applyAlignment="1" applyProtection="1">
      <alignment horizontal="left"/>
      <protection/>
    </xf>
    <xf numFmtId="39" fontId="8" fillId="0" borderId="11" xfId="0" applyFont="1" applyBorder="1" applyAlignment="1">
      <alignment/>
    </xf>
    <xf numFmtId="39" fontId="8" fillId="0" borderId="12" xfId="0" applyFont="1" applyBorder="1" applyAlignment="1" applyProtection="1">
      <alignment horizontal="right"/>
      <protection/>
    </xf>
    <xf numFmtId="39" fontId="6" fillId="0" borderId="10" xfId="0" applyFont="1" applyBorder="1" applyAlignment="1" applyProtection="1">
      <alignment horizontal="left"/>
      <protection/>
    </xf>
    <xf numFmtId="39" fontId="6" fillId="0" borderId="10" xfId="0" applyFont="1" applyBorder="1" applyAlignment="1">
      <alignment/>
    </xf>
    <xf numFmtId="39" fontId="5" fillId="0" borderId="10" xfId="0" applyFont="1" applyBorder="1" applyAlignment="1">
      <alignment horizontal="center"/>
    </xf>
    <xf numFmtId="39" fontId="8" fillId="0" borderId="13" xfId="0" applyFont="1" applyBorder="1" applyAlignment="1" applyProtection="1">
      <alignment horizontal="right"/>
      <protection/>
    </xf>
    <xf numFmtId="39" fontId="8" fillId="0" borderId="0" xfId="0" applyFont="1" applyBorder="1" applyAlignment="1">
      <alignment/>
    </xf>
    <xf numFmtId="39" fontId="8" fillId="0" borderId="14" xfId="0" applyFont="1" applyBorder="1" applyAlignment="1">
      <alignment/>
    </xf>
    <xf numFmtId="39" fontId="5" fillId="0" borderId="14" xfId="0" applyFont="1" applyBorder="1" applyAlignment="1" applyProtection="1">
      <alignment horizontal="center"/>
      <protection/>
    </xf>
    <xf numFmtId="39" fontId="5" fillId="0" borderId="15" xfId="0" applyFont="1" applyBorder="1" applyAlignment="1">
      <alignment/>
    </xf>
    <xf numFmtId="39" fontId="8" fillId="0" borderId="16" xfId="0" applyFont="1" applyBorder="1" applyAlignment="1" applyProtection="1">
      <alignment horizontal="center"/>
      <protection/>
    </xf>
    <xf numFmtId="39" fontId="5" fillId="0" borderId="17" xfId="0" applyFont="1" applyBorder="1" applyAlignment="1">
      <alignment/>
    </xf>
    <xf numFmtId="39" fontId="8" fillId="0" borderId="18" xfId="0" applyFont="1" applyBorder="1" applyAlignment="1">
      <alignment/>
    </xf>
    <xf numFmtId="39" fontId="8" fillId="0" borderId="19" xfId="0" applyFont="1" applyBorder="1" applyAlignment="1">
      <alignment/>
    </xf>
    <xf numFmtId="39" fontId="8" fillId="0" borderId="20" xfId="0" applyFont="1" applyBorder="1" applyAlignment="1">
      <alignment/>
    </xf>
    <xf numFmtId="39" fontId="8" fillId="0" borderId="21" xfId="0" applyFont="1" applyBorder="1" applyAlignment="1" applyProtection="1">
      <alignment horizontal="right"/>
      <protection/>
    </xf>
    <xf numFmtId="39" fontId="9" fillId="0" borderId="0" xfId="0" applyFont="1" applyAlignment="1">
      <alignment/>
    </xf>
    <xf numFmtId="39" fontId="10" fillId="0" borderId="0" xfId="0" applyFont="1" applyAlignment="1">
      <alignment/>
    </xf>
    <xf numFmtId="39" fontId="8" fillId="0" borderId="15" xfId="0" applyFont="1" applyBorder="1" applyAlignment="1" applyProtection="1">
      <alignment horizontal="center"/>
      <protection/>
    </xf>
    <xf numFmtId="39" fontId="5" fillId="0" borderId="22" xfId="0" applyNumberFormat="1" applyFont="1" applyBorder="1" applyAlignment="1" applyProtection="1">
      <alignment/>
      <protection/>
    </xf>
    <xf numFmtId="0" fontId="5" fillId="0" borderId="17" xfId="0" applyNumberFormat="1" applyFont="1" applyBorder="1" applyAlignment="1" applyProtection="1">
      <alignment horizontal="center"/>
      <protection/>
    </xf>
    <xf numFmtId="39" fontId="8" fillId="0" borderId="23" xfId="0" applyFont="1" applyBorder="1" applyAlignment="1">
      <alignment/>
    </xf>
    <xf numFmtId="0" fontId="4" fillId="0" borderId="0" xfId="60">
      <alignment/>
      <protection/>
    </xf>
    <xf numFmtId="0" fontId="4" fillId="0" borderId="0" xfId="60" applyAlignment="1">
      <alignment horizontal="center"/>
      <protection/>
    </xf>
    <xf numFmtId="0" fontId="4" fillId="0" borderId="24" xfId="60" applyBorder="1" applyAlignment="1">
      <alignment horizontal="center"/>
      <protection/>
    </xf>
    <xf numFmtId="0" fontId="4" fillId="0" borderId="25" xfId="60" applyBorder="1">
      <alignment/>
      <protection/>
    </xf>
    <xf numFmtId="0" fontId="4" fillId="0" borderId="26" xfId="60" applyBorder="1" applyAlignment="1">
      <alignment horizontal="center"/>
      <protection/>
    </xf>
    <xf numFmtId="0" fontId="4" fillId="0" borderId="27" xfId="60" applyBorder="1">
      <alignment/>
      <protection/>
    </xf>
    <xf numFmtId="0" fontId="4" fillId="0" borderId="28" xfId="60" applyBorder="1" applyAlignment="1">
      <alignment horizontal="center" vertical="top"/>
      <protection/>
    </xf>
    <xf numFmtId="0" fontId="4" fillId="0" borderId="0" xfId="60" applyBorder="1" applyAlignment="1">
      <alignment vertical="top"/>
      <protection/>
    </xf>
    <xf numFmtId="0" fontId="4" fillId="0" borderId="29" xfId="60" applyBorder="1" applyAlignment="1" quotePrefix="1">
      <alignment horizontal="center" vertical="top"/>
      <protection/>
    </xf>
    <xf numFmtId="4" fontId="4" fillId="0" borderId="30" xfId="60" applyNumberFormat="1" applyBorder="1">
      <alignment/>
      <protection/>
    </xf>
    <xf numFmtId="4" fontId="4" fillId="0" borderId="31" xfId="60" applyNumberFormat="1" applyBorder="1">
      <alignment/>
      <protection/>
    </xf>
    <xf numFmtId="4" fontId="4" fillId="0" borderId="32" xfId="60" applyNumberFormat="1" applyBorder="1">
      <alignment/>
      <protection/>
    </xf>
    <xf numFmtId="4" fontId="4" fillId="0" borderId="27" xfId="60" applyNumberFormat="1" applyBorder="1">
      <alignment/>
      <protection/>
    </xf>
    <xf numFmtId="4" fontId="4" fillId="0" borderId="33" xfId="60" applyNumberFormat="1" applyBorder="1">
      <alignment/>
      <protection/>
    </xf>
    <xf numFmtId="4" fontId="4" fillId="0" borderId="0" xfId="60" applyNumberFormat="1">
      <alignment/>
      <protection/>
    </xf>
    <xf numFmtId="0" fontId="4" fillId="0" borderId="28" xfId="60" applyBorder="1" applyAlignment="1">
      <alignment horizontal="center"/>
      <protection/>
    </xf>
    <xf numFmtId="0" fontId="4" fillId="0" borderId="0" xfId="60" applyBorder="1">
      <alignment/>
      <protection/>
    </xf>
    <xf numFmtId="0" fontId="4" fillId="0" borderId="34" xfId="60" applyBorder="1">
      <alignment/>
      <protection/>
    </xf>
    <xf numFmtId="0" fontId="4" fillId="0" borderId="0" xfId="60" applyBorder="1" applyAlignment="1">
      <alignment horizontal="center"/>
      <protection/>
    </xf>
    <xf numFmtId="0" fontId="4" fillId="0" borderId="30" xfId="60" applyBorder="1">
      <alignment/>
      <protection/>
    </xf>
    <xf numFmtId="4" fontId="4" fillId="0" borderId="34" xfId="60" applyNumberFormat="1" applyBorder="1">
      <alignment/>
      <protection/>
    </xf>
    <xf numFmtId="0" fontId="4" fillId="0" borderId="35" xfId="60" applyBorder="1" applyAlignment="1">
      <alignment horizontal="center" vertical="top"/>
      <protection/>
    </xf>
    <xf numFmtId="39" fontId="13" fillId="0" borderId="0" xfId="0" applyFont="1" applyAlignment="1">
      <alignment horizontal="center"/>
    </xf>
    <xf numFmtId="39" fontId="14" fillId="0" borderId="0" xfId="0" applyFont="1" applyAlignment="1">
      <alignment/>
    </xf>
    <xf numFmtId="39" fontId="15" fillId="0" borderId="0" xfId="0" applyFont="1" applyAlignment="1">
      <alignment horizontal="center"/>
    </xf>
    <xf numFmtId="39" fontId="15" fillId="0" borderId="0" xfId="0" applyFont="1" applyAlignment="1">
      <alignment/>
    </xf>
    <xf numFmtId="177" fontId="15" fillId="0" borderId="0" xfId="52" applyNumberFormat="1" applyFont="1" applyAlignment="1">
      <alignment/>
    </xf>
    <xf numFmtId="177" fontId="15" fillId="0" borderId="36" xfId="52" applyNumberFormat="1" applyFont="1" applyBorder="1" applyAlignment="1">
      <alignment horizontal="center"/>
    </xf>
    <xf numFmtId="177" fontId="15" fillId="0" borderId="34" xfId="52" applyNumberFormat="1" applyFont="1" applyBorder="1" applyAlignment="1">
      <alignment horizontal="center"/>
    </xf>
    <xf numFmtId="39" fontId="16" fillId="0" borderId="37" xfId="0" applyFont="1" applyBorder="1" applyAlignment="1" quotePrefix="1">
      <alignment horizontal="center"/>
    </xf>
    <xf numFmtId="39" fontId="1" fillId="0" borderId="37" xfId="0" applyFont="1" applyBorder="1" applyAlignment="1" applyProtection="1">
      <alignment horizontal="left"/>
      <protection/>
    </xf>
    <xf numFmtId="2" fontId="16" fillId="0" borderId="37" xfId="52" applyNumberFormat="1" applyFont="1" applyBorder="1" applyAlignment="1">
      <alignment/>
    </xf>
    <xf numFmtId="39" fontId="15" fillId="0" borderId="29" xfId="0" applyFont="1" applyBorder="1" applyAlignment="1">
      <alignment horizontal="center"/>
    </xf>
    <xf numFmtId="2" fontId="15" fillId="0" borderId="0" xfId="52" applyNumberFormat="1" applyFont="1" applyAlignment="1">
      <alignment/>
    </xf>
    <xf numFmtId="39" fontId="17" fillId="0" borderId="37" xfId="0" applyFont="1" applyBorder="1" applyAlignment="1">
      <alignment horizontal="center"/>
    </xf>
    <xf numFmtId="39" fontId="18" fillId="0" borderId="37" xfId="0" applyFont="1" applyBorder="1" applyAlignment="1">
      <alignment/>
    </xf>
    <xf numFmtId="2" fontId="17" fillId="0" borderId="37" xfId="52" applyNumberFormat="1" applyFont="1" applyBorder="1" applyAlignment="1">
      <alignment/>
    </xf>
    <xf numFmtId="39" fontId="14" fillId="0" borderId="0" xfId="0" applyFont="1" applyAlignment="1" quotePrefix="1">
      <alignment/>
    </xf>
    <xf numFmtId="39" fontId="16" fillId="0" borderId="37" xfId="0" applyFont="1" applyBorder="1" applyAlignment="1">
      <alignment/>
    </xf>
    <xf numFmtId="39" fontId="17" fillId="0" borderId="37" xfId="0" applyFont="1" applyBorder="1" applyAlignment="1">
      <alignment/>
    </xf>
    <xf numFmtId="39" fontId="15" fillId="0" borderId="37" xfId="0" applyFont="1" applyBorder="1" applyAlignment="1">
      <alignment horizontal="center"/>
    </xf>
    <xf numFmtId="39" fontId="4" fillId="0" borderId="37" xfId="0" applyFont="1" applyBorder="1" applyAlignment="1">
      <alignment/>
    </xf>
    <xf numFmtId="2" fontId="15" fillId="0" borderId="37" xfId="52" applyNumberFormat="1" applyFont="1" applyBorder="1" applyAlignment="1">
      <alignment/>
    </xf>
    <xf numFmtId="39" fontId="14" fillId="0" borderId="0" xfId="0" applyFont="1" applyBorder="1" applyAlignment="1">
      <alignment/>
    </xf>
    <xf numFmtId="39" fontId="15" fillId="0" borderId="37" xfId="0" applyFont="1" applyBorder="1" applyAlignment="1">
      <alignment/>
    </xf>
    <xf numFmtId="39" fontId="14" fillId="0" borderId="14" xfId="0" applyFont="1" applyBorder="1" applyAlignment="1">
      <alignment/>
    </xf>
    <xf numFmtId="37" fontId="16" fillId="0" borderId="37" xfId="0" applyNumberFormat="1" applyFont="1" applyBorder="1" applyAlignment="1" quotePrefix="1">
      <alignment horizontal="center"/>
    </xf>
    <xf numFmtId="2" fontId="16" fillId="0" borderId="37" xfId="52" applyNumberFormat="1" applyFont="1" applyBorder="1" applyAlignment="1">
      <alignment/>
    </xf>
    <xf numFmtId="2" fontId="16" fillId="0" borderId="37" xfId="52" applyNumberFormat="1" applyFont="1" applyBorder="1" applyAlignment="1">
      <alignment horizontal="center"/>
    </xf>
    <xf numFmtId="39" fontId="15" fillId="0" borderId="0" xfId="0" applyFont="1" applyAlignment="1">
      <alignment horizontal="left"/>
    </xf>
    <xf numFmtId="2" fontId="14" fillId="0" borderId="0" xfId="52" applyNumberFormat="1" applyFont="1" applyAlignment="1">
      <alignment/>
    </xf>
    <xf numFmtId="39" fontId="14" fillId="0" borderId="0" xfId="0" applyFont="1" applyAlignment="1">
      <alignment horizontal="center"/>
    </xf>
    <xf numFmtId="177" fontId="14" fillId="0" borderId="0" xfId="52" applyNumberFormat="1" applyFont="1" applyAlignment="1">
      <alignment/>
    </xf>
    <xf numFmtId="10" fontId="5" fillId="0" borderId="0" xfId="62" applyNumberFormat="1" applyFont="1" applyAlignment="1" applyProtection="1" quotePrefix="1">
      <alignment horizontal="centerContinuous"/>
      <protection/>
    </xf>
    <xf numFmtId="39" fontId="5" fillId="0" borderId="38" xfId="0" applyFont="1" applyBorder="1" applyAlignment="1">
      <alignment/>
    </xf>
    <xf numFmtId="39" fontId="5" fillId="0" borderId="38" xfId="0" applyFont="1" applyBorder="1" applyAlignment="1" applyProtection="1">
      <alignment/>
      <protection/>
    </xf>
    <xf numFmtId="39" fontId="8" fillId="0" borderId="39" xfId="0" applyFont="1" applyBorder="1" applyAlignment="1" applyProtection="1">
      <alignment/>
      <protection/>
    </xf>
    <xf numFmtId="39" fontId="5" fillId="0" borderId="30" xfId="0" applyFont="1" applyBorder="1" applyAlignment="1" applyProtection="1">
      <alignment/>
      <protection/>
    </xf>
    <xf numFmtId="39" fontId="5" fillId="0" borderId="30" xfId="0" applyFont="1" applyBorder="1" applyAlignment="1">
      <alignment/>
    </xf>
    <xf numFmtId="39" fontId="5" fillId="0" borderId="34" xfId="0" applyFont="1" applyBorder="1" applyAlignment="1">
      <alignment/>
    </xf>
    <xf numFmtId="39" fontId="0" fillId="0" borderId="0" xfId="0" applyAlignment="1">
      <alignment vertical="center" wrapText="1"/>
    </xf>
    <xf numFmtId="0" fontId="7" fillId="0" borderId="0" xfId="58" applyFont="1" applyAlignment="1">
      <alignment/>
      <protection/>
    </xf>
    <xf numFmtId="0" fontId="4" fillId="0" borderId="0" xfId="58">
      <alignment/>
      <protection/>
    </xf>
    <xf numFmtId="0" fontId="4" fillId="0" borderId="0" xfId="58" applyFill="1" applyBorder="1">
      <alignment/>
      <protection/>
    </xf>
    <xf numFmtId="4" fontId="1" fillId="0" borderId="0" xfId="58" applyNumberFormat="1" applyFont="1" applyFill="1" applyBorder="1">
      <alignment/>
      <protection/>
    </xf>
    <xf numFmtId="0" fontId="4" fillId="0" borderId="0" xfId="58" applyFill="1">
      <alignment/>
      <protection/>
    </xf>
    <xf numFmtId="0" fontId="4" fillId="0" borderId="0" xfId="58" applyFill="1" applyBorder="1" applyAlignment="1">
      <alignment vertical="center"/>
      <protection/>
    </xf>
    <xf numFmtId="4" fontId="1" fillId="0" borderId="37" xfId="58" applyNumberFormat="1" applyFont="1" applyFill="1" applyBorder="1" applyAlignment="1">
      <alignment horizontal="center" vertical="center"/>
      <protection/>
    </xf>
    <xf numFmtId="4" fontId="1" fillId="0" borderId="0" xfId="58" applyNumberFormat="1" applyFont="1" applyFill="1" applyBorder="1" applyAlignment="1">
      <alignment horizontal="center" vertical="center"/>
      <protection/>
    </xf>
    <xf numFmtId="39" fontId="7" fillId="0" borderId="0" xfId="0" applyFont="1" applyAlignment="1">
      <alignment/>
    </xf>
    <xf numFmtId="39" fontId="20" fillId="0" borderId="0" xfId="0" applyFont="1" applyAlignment="1">
      <alignment/>
    </xf>
    <xf numFmtId="39" fontId="8" fillId="0" borderId="0" xfId="0" applyFont="1" applyAlignment="1">
      <alignment/>
    </xf>
    <xf numFmtId="4" fontId="4" fillId="0" borderId="30" xfId="0" applyNumberFormat="1" applyFont="1" applyBorder="1" applyAlignment="1">
      <alignment/>
    </xf>
    <xf numFmtId="16" fontId="4" fillId="0" borderId="0" xfId="58" applyNumberFormat="1" applyFill="1" applyBorder="1" applyAlignment="1" quotePrefix="1">
      <alignment horizontal="center" vertical="center"/>
      <protection/>
    </xf>
    <xf numFmtId="4" fontId="4" fillId="0" borderId="0" xfId="58" applyNumberFormat="1" applyFill="1" applyBorder="1" applyAlignment="1">
      <alignment horizontal="center" vertical="center"/>
      <protection/>
    </xf>
    <xf numFmtId="0" fontId="4" fillId="0" borderId="30" xfId="60" applyFont="1" applyBorder="1" applyAlignment="1">
      <alignment horizontal="justify" vertical="center" wrapText="1"/>
      <protection/>
    </xf>
    <xf numFmtId="4" fontId="4" fillId="0" borderId="30" xfId="60" applyNumberFormat="1" applyBorder="1" applyAlignment="1">
      <alignment horizontal="center" vertical="center" wrapText="1"/>
      <protection/>
    </xf>
    <xf numFmtId="0" fontId="4" fillId="0" borderId="40" xfId="60" applyBorder="1" applyAlignment="1">
      <alignment horizontal="center" vertical="center" wrapText="1"/>
      <protection/>
    </xf>
    <xf numFmtId="0" fontId="4" fillId="0" borderId="41" xfId="60" applyBorder="1" applyAlignment="1">
      <alignment vertical="center" wrapText="1"/>
      <protection/>
    </xf>
    <xf numFmtId="0" fontId="4" fillId="0" borderId="42" xfId="60" applyBorder="1" applyAlignment="1">
      <alignment horizontal="center" vertical="center" wrapText="1"/>
      <protection/>
    </xf>
    <xf numFmtId="0" fontId="4" fillId="0" borderId="43" xfId="60" applyBorder="1" applyAlignment="1">
      <alignment vertical="center" wrapText="1"/>
      <protection/>
    </xf>
    <xf numFmtId="4" fontId="4" fillId="0" borderId="44" xfId="60" applyNumberFormat="1" applyBorder="1" applyAlignment="1">
      <alignment horizontal="center" vertical="center" wrapText="1"/>
      <protection/>
    </xf>
    <xf numFmtId="4" fontId="4" fillId="0" borderId="45" xfId="60" applyNumberFormat="1" applyBorder="1" applyAlignment="1">
      <alignment horizontal="center" vertical="center" wrapText="1"/>
      <protection/>
    </xf>
    <xf numFmtId="4" fontId="4" fillId="0" borderId="46" xfId="60" applyNumberFormat="1" applyBorder="1" applyAlignment="1">
      <alignment horizontal="center" vertical="center" wrapText="1"/>
      <protection/>
    </xf>
    <xf numFmtId="0" fontId="4" fillId="0" borderId="0" xfId="60" applyAlignment="1">
      <alignment vertical="center" wrapText="1"/>
      <protection/>
    </xf>
    <xf numFmtId="0" fontId="4" fillId="0" borderId="47" xfId="60" applyBorder="1" applyAlignment="1">
      <alignment horizontal="center" vertical="center" wrapText="1"/>
      <protection/>
    </xf>
    <xf numFmtId="0" fontId="4" fillId="0" borderId="48" xfId="60" applyBorder="1" applyAlignment="1">
      <alignment vertical="center" wrapText="1"/>
      <protection/>
    </xf>
    <xf numFmtId="4" fontId="4" fillId="0" borderId="0" xfId="60" applyNumberFormat="1" applyAlignment="1">
      <alignment vertical="center" wrapText="1"/>
      <protection/>
    </xf>
    <xf numFmtId="16" fontId="4" fillId="0" borderId="0" xfId="58" applyNumberFormat="1" applyFont="1" applyFill="1" applyBorder="1" applyAlignment="1" quotePrefix="1">
      <alignment horizontal="center" vertical="center"/>
      <protection/>
    </xf>
    <xf numFmtId="16" fontId="4" fillId="0" borderId="0" xfId="58" applyNumberFormat="1" applyFont="1" applyFill="1" applyBorder="1" applyAlignment="1">
      <alignment horizontal="center" vertical="center" wrapText="1"/>
      <protection/>
    </xf>
    <xf numFmtId="0" fontId="4" fillId="0" borderId="0" xfId="58" applyFont="1" applyFill="1" applyBorder="1" applyAlignment="1">
      <alignment horizontal="justify" vertical="center" wrapText="1"/>
      <protection/>
    </xf>
    <xf numFmtId="39" fontId="8" fillId="0" borderId="36" xfId="0" applyFont="1" applyBorder="1" applyAlignment="1" applyProtection="1">
      <alignment horizontal="center"/>
      <protection/>
    </xf>
    <xf numFmtId="39" fontId="8" fillId="0" borderId="34" xfId="0" applyFont="1" applyBorder="1" applyAlignment="1" applyProtection="1">
      <alignment horizontal="center"/>
      <protection/>
    </xf>
    <xf numFmtId="39" fontId="8" fillId="0" borderId="49" xfId="0" applyFont="1" applyBorder="1" applyAlignment="1" applyProtection="1">
      <alignment horizontal="center"/>
      <protection/>
    </xf>
    <xf numFmtId="39" fontId="23" fillId="0" borderId="0" xfId="0" applyFont="1" applyAlignment="1">
      <alignment/>
    </xf>
    <xf numFmtId="39" fontId="24" fillId="0" borderId="0" xfId="0" applyFont="1" applyAlignment="1">
      <alignment/>
    </xf>
    <xf numFmtId="39" fontId="22" fillId="0" borderId="0" xfId="0" applyFont="1" applyAlignment="1">
      <alignment vertical="center"/>
    </xf>
    <xf numFmtId="39" fontId="22" fillId="0" borderId="0" xfId="0" applyFont="1" applyBorder="1" applyAlignment="1">
      <alignment horizontal="center" vertical="center"/>
    </xf>
    <xf numFmtId="39" fontId="22" fillId="0" borderId="0" xfId="0" applyFont="1" applyAlignment="1">
      <alignment horizontal="justify" vertical="center" wrapText="1"/>
    </xf>
    <xf numFmtId="39" fontId="22" fillId="0" borderId="0" xfId="0" applyFont="1" applyBorder="1" applyAlignment="1" quotePrefix="1">
      <alignment horizontal="center" vertical="top"/>
    </xf>
    <xf numFmtId="39" fontId="5" fillId="0" borderId="0" xfId="0" applyFont="1" applyAlignment="1" applyProtection="1">
      <alignment horizontal="right"/>
      <protection/>
    </xf>
    <xf numFmtId="49" fontId="1" fillId="0" borderId="44" xfId="60" applyNumberFormat="1" applyFont="1" applyBorder="1" applyAlignment="1">
      <alignment horizontal="center" vertical="center" wrapText="1"/>
      <protection/>
    </xf>
    <xf numFmtId="49" fontId="1" fillId="0" borderId="44" xfId="60" applyNumberFormat="1" applyFont="1" applyBorder="1" applyAlignment="1">
      <alignment horizontal="center" vertical="justify"/>
      <protection/>
    </xf>
    <xf numFmtId="49" fontId="1" fillId="0" borderId="50" xfId="60" applyNumberFormat="1" applyFont="1" applyBorder="1" applyAlignment="1">
      <alignment horizontal="center" vertical="justify"/>
      <protection/>
    </xf>
    <xf numFmtId="39" fontId="25" fillId="0" borderId="0" xfId="0" applyFont="1" applyAlignment="1">
      <alignment/>
    </xf>
    <xf numFmtId="39" fontId="25" fillId="0" borderId="0" xfId="0" applyFont="1" applyAlignment="1">
      <alignment horizontal="centerContinuous"/>
    </xf>
    <xf numFmtId="39" fontId="26" fillId="0" borderId="0" xfId="0" applyFont="1" applyAlignment="1">
      <alignment/>
    </xf>
    <xf numFmtId="37" fontId="26" fillId="0" borderId="0" xfId="0" applyNumberFormat="1" applyFont="1" applyAlignment="1" applyProtection="1">
      <alignment/>
      <protection/>
    </xf>
    <xf numFmtId="0" fontId="4" fillId="0" borderId="34" xfId="60" applyBorder="1" applyAlignment="1">
      <alignment horizontal="justify" vertical="top" wrapText="1"/>
      <protection/>
    </xf>
    <xf numFmtId="4" fontId="4" fillId="0" borderId="0" xfId="58" applyNumberFormat="1">
      <alignment/>
      <protection/>
    </xf>
    <xf numFmtId="4" fontId="4" fillId="0" borderId="0" xfId="58" applyNumberFormat="1" applyFill="1" applyBorder="1">
      <alignment/>
      <protection/>
    </xf>
    <xf numFmtId="39" fontId="5" fillId="0" borderId="34" xfId="0" applyNumberFormat="1" applyFont="1" applyBorder="1" applyAlignment="1" applyProtection="1">
      <alignment/>
      <protection/>
    </xf>
    <xf numFmtId="37" fontId="5" fillId="0" borderId="22" xfId="0" applyNumberFormat="1" applyFont="1" applyBorder="1" applyAlignment="1" applyProtection="1">
      <alignment/>
      <protection/>
    </xf>
    <xf numFmtId="0" fontId="4" fillId="0" borderId="29" xfId="60" applyFont="1" applyBorder="1" applyAlignment="1">
      <alignment horizontal="center" vertical="center"/>
      <protection/>
    </xf>
    <xf numFmtId="49" fontId="1" fillId="0" borderId="51" xfId="60" applyNumberFormat="1" applyFont="1" applyBorder="1" applyAlignment="1">
      <alignment horizontal="center" vertical="distributed" textRotation="90" wrapText="1"/>
      <protection/>
    </xf>
    <xf numFmtId="0" fontId="7" fillId="0" borderId="0" xfId="58" applyFont="1" applyFill="1" applyAlignment="1">
      <alignment horizontal="center"/>
      <protection/>
    </xf>
    <xf numFmtId="0" fontId="1" fillId="0" borderId="0" xfId="60" applyFont="1" applyAlignment="1">
      <alignment horizontal="center"/>
      <protection/>
    </xf>
    <xf numFmtId="0" fontId="4" fillId="0" borderId="30" xfId="0" applyNumberFormat="1" applyFont="1" applyBorder="1" applyAlignment="1">
      <alignment horizontal="justify" vertical="center" wrapText="1"/>
    </xf>
    <xf numFmtId="0" fontId="27" fillId="0" borderId="0" xfId="58" applyFont="1" applyFill="1" applyAlignment="1">
      <alignment vertical="center"/>
      <protection/>
    </xf>
    <xf numFmtId="39" fontId="0" fillId="0" borderId="0" xfId="0" applyAlignment="1">
      <alignment horizontal="justify" vertical="center" wrapText="1"/>
    </xf>
    <xf numFmtId="39" fontId="8" fillId="0" borderId="0" xfId="0" applyFont="1" applyAlignment="1">
      <alignment/>
    </xf>
    <xf numFmtId="39" fontId="28" fillId="0" borderId="37" xfId="0" applyFont="1" applyBorder="1" applyAlignment="1">
      <alignment horizontal="center" vertical="center" wrapText="1"/>
    </xf>
    <xf numFmtId="39" fontId="28" fillId="0" borderId="36" xfId="0" applyFont="1" applyBorder="1" applyAlignment="1">
      <alignment horizontal="center" vertical="center" wrapText="1"/>
    </xf>
    <xf numFmtId="39" fontId="29" fillId="0" borderId="0" xfId="0" applyFont="1" applyAlignment="1">
      <alignment/>
    </xf>
    <xf numFmtId="39" fontId="18" fillId="0" borderId="0" xfId="0" applyFont="1" applyAlignment="1">
      <alignment horizontal="justify" vertical="center" wrapText="1"/>
    </xf>
    <xf numFmtId="39" fontId="0" fillId="0" borderId="52" xfId="0" applyBorder="1" applyAlignment="1">
      <alignment/>
    </xf>
    <xf numFmtId="39" fontId="8" fillId="0" borderId="15" xfId="0" applyFont="1" applyBorder="1" applyAlignment="1" applyProtection="1">
      <alignment horizontal="center" vertical="center" wrapText="1"/>
      <protection/>
    </xf>
    <xf numFmtId="39" fontId="8" fillId="0" borderId="0" xfId="0" applyFont="1" applyBorder="1" applyAlignment="1" applyProtection="1">
      <alignment horizontal="center"/>
      <protection/>
    </xf>
    <xf numFmtId="39" fontId="8" fillId="0" borderId="30" xfId="0" applyFont="1" applyBorder="1" applyAlignment="1" applyProtection="1">
      <alignment horizontal="center"/>
      <protection/>
    </xf>
    <xf numFmtId="39" fontId="8" fillId="0" borderId="53" xfId="0" applyFont="1" applyBorder="1" applyAlignment="1" applyProtection="1">
      <alignment horizontal="center"/>
      <protection/>
    </xf>
    <xf numFmtId="39" fontId="8" fillId="0" borderId="54" xfId="0" applyFont="1" applyBorder="1" applyAlignment="1" applyProtection="1">
      <alignment horizontal="center"/>
      <protection/>
    </xf>
    <xf numFmtId="39" fontId="8" fillId="0" borderId="55" xfId="0" applyFont="1" applyBorder="1" applyAlignment="1" applyProtection="1">
      <alignment horizontal="center" vertical="center" wrapText="1"/>
      <protection/>
    </xf>
    <xf numFmtId="39" fontId="8" fillId="0" borderId="38" xfId="0" applyFont="1" applyBorder="1" applyAlignment="1" applyProtection="1">
      <alignment horizontal="center"/>
      <protection/>
    </xf>
    <xf numFmtId="39" fontId="8" fillId="0" borderId="55" xfId="0" applyFont="1" applyBorder="1" applyAlignment="1" applyProtection="1" quotePrefix="1">
      <alignment horizontal="center"/>
      <protection/>
    </xf>
    <xf numFmtId="39" fontId="8" fillId="0" borderId="56" xfId="0" applyFont="1" applyBorder="1" applyAlignment="1">
      <alignment/>
    </xf>
    <xf numFmtId="39" fontId="8" fillId="0" borderId="57" xfId="0" applyFont="1" applyBorder="1" applyAlignment="1" applyProtection="1">
      <alignment horizontal="center"/>
      <protection/>
    </xf>
    <xf numFmtId="39" fontId="8" fillId="0" borderId="37" xfId="0" applyFont="1" applyBorder="1" applyAlignment="1" applyProtection="1">
      <alignment/>
      <protection/>
    </xf>
    <xf numFmtId="16" fontId="4" fillId="0" borderId="49" xfId="58" applyNumberFormat="1" applyFont="1" applyFill="1" applyBorder="1" applyAlignment="1" quotePrefix="1">
      <alignment horizontal="center" vertical="center"/>
      <protection/>
    </xf>
    <xf numFmtId="16" fontId="4" fillId="0" borderId="49" xfId="58" applyNumberFormat="1" applyFont="1" applyFill="1" applyBorder="1" applyAlignment="1">
      <alignment horizontal="center" vertical="center" wrapText="1"/>
      <protection/>
    </xf>
    <xf numFmtId="0" fontId="4" fillId="0" borderId="49" xfId="58" applyFont="1" applyFill="1" applyBorder="1" applyAlignment="1">
      <alignment horizontal="justify" vertical="center" wrapText="1"/>
      <protection/>
    </xf>
    <xf numFmtId="4" fontId="4" fillId="0" borderId="49" xfId="58" applyNumberFormat="1" applyFill="1" applyBorder="1" applyAlignment="1">
      <alignment horizontal="center" vertical="center"/>
      <protection/>
    </xf>
    <xf numFmtId="4" fontId="81" fillId="0" borderId="0" xfId="60" applyNumberFormat="1" applyFont="1" applyAlignment="1">
      <alignment vertical="center" wrapText="1"/>
      <protection/>
    </xf>
    <xf numFmtId="39" fontId="29" fillId="33" borderId="58" xfId="0" applyFont="1" applyFill="1" applyBorder="1" applyAlignment="1">
      <alignment/>
    </xf>
    <xf numFmtId="39" fontId="30" fillId="33" borderId="14" xfId="0" applyFont="1" applyFill="1" applyBorder="1" applyAlignment="1">
      <alignment/>
    </xf>
    <xf numFmtId="39" fontId="30" fillId="33" borderId="59" xfId="0" applyFont="1" applyFill="1" applyBorder="1" applyAlignment="1">
      <alignment/>
    </xf>
    <xf numFmtId="39" fontId="31" fillId="33" borderId="59" xfId="0" applyFont="1" applyFill="1" applyBorder="1" applyAlignment="1">
      <alignment horizontal="center"/>
    </xf>
    <xf numFmtId="0" fontId="4" fillId="0" borderId="37" xfId="0" applyNumberFormat="1" applyFont="1" applyBorder="1" applyAlignment="1">
      <alignment horizontal="justify" vertical="center" wrapText="1"/>
    </xf>
    <xf numFmtId="4" fontId="4" fillId="0" borderId="37" xfId="0" applyNumberFormat="1" applyFont="1" applyFill="1" applyBorder="1" applyAlignment="1">
      <alignment horizontal="center" vertical="center"/>
    </xf>
    <xf numFmtId="39" fontId="4" fillId="0" borderId="36" xfId="0" applyFont="1" applyBorder="1" applyAlignment="1" quotePrefix="1">
      <alignment horizontal="justify" vertical="center" wrapText="1"/>
    </xf>
    <xf numFmtId="39" fontId="4" fillId="0" borderId="0" xfId="0" applyFont="1" applyBorder="1" applyAlignment="1">
      <alignment horizontal="justify" vertical="center" wrapText="1"/>
    </xf>
    <xf numFmtId="4" fontId="4" fillId="0" borderId="49" xfId="0" applyNumberFormat="1" applyFont="1" applyFill="1" applyBorder="1" applyAlignment="1">
      <alignment horizontal="center" vertical="center"/>
    </xf>
    <xf numFmtId="4" fontId="4" fillId="0" borderId="0" xfId="0" applyNumberFormat="1" applyFont="1" applyFill="1" applyBorder="1" applyAlignment="1" quotePrefix="1">
      <alignment horizontal="justify" vertical="justify" wrapText="1"/>
    </xf>
    <xf numFmtId="39" fontId="19" fillId="0" borderId="0" xfId="0" applyFont="1" applyAlignment="1">
      <alignment/>
    </xf>
    <xf numFmtId="0" fontId="4" fillId="0" borderId="0" xfId="58" applyFont="1" applyFill="1" applyBorder="1" applyAlignment="1">
      <alignment horizontal="left" vertical="center" wrapText="1"/>
      <protection/>
    </xf>
    <xf numFmtId="39" fontId="4" fillId="0" borderId="49" xfId="0" applyFont="1" applyBorder="1" applyAlignment="1" quotePrefix="1">
      <alignment horizontal="justify" vertical="center" wrapText="1"/>
    </xf>
    <xf numFmtId="39" fontId="0" fillId="0" borderId="54" xfId="0" applyBorder="1" applyAlignment="1">
      <alignment horizontal="center"/>
    </xf>
    <xf numFmtId="37" fontId="8" fillId="0" borderId="60" xfId="0" applyNumberFormat="1" applyFont="1" applyBorder="1" applyAlignment="1" applyProtection="1">
      <alignment/>
      <protection/>
    </xf>
    <xf numFmtId="37" fontId="8" fillId="0" borderId="61" xfId="0" applyNumberFormat="1" applyFont="1" applyBorder="1" applyAlignment="1" applyProtection="1">
      <alignment/>
      <protection/>
    </xf>
    <xf numFmtId="39" fontId="5" fillId="0" borderId="62" xfId="0" applyFont="1" applyBorder="1" applyAlignment="1" applyProtection="1">
      <alignment/>
      <protection/>
    </xf>
    <xf numFmtId="39" fontId="5" fillId="0" borderId="52" xfId="0" applyFont="1" applyBorder="1" applyAlignment="1">
      <alignment/>
    </xf>
    <xf numFmtId="39" fontId="5" fillId="0" borderId="15" xfId="0" applyFont="1" applyBorder="1" applyAlignment="1">
      <alignment horizontal="center"/>
    </xf>
    <xf numFmtId="0" fontId="4" fillId="0" borderId="37" xfId="58" applyFont="1" applyFill="1" applyBorder="1" applyAlignment="1">
      <alignment horizontal="center" vertical="center"/>
      <protection/>
    </xf>
    <xf numFmtId="0" fontId="4" fillId="0" borderId="37" xfId="58" applyNumberFormat="1" applyFont="1" applyFill="1" applyBorder="1" applyAlignment="1">
      <alignment horizontal="center" vertical="center" wrapText="1"/>
      <protection/>
    </xf>
    <xf numFmtId="4" fontId="4" fillId="0" borderId="37" xfId="58" applyNumberFormat="1" applyFont="1" applyFill="1" applyBorder="1" applyAlignment="1">
      <alignment horizontal="center" vertical="center"/>
      <protection/>
    </xf>
    <xf numFmtId="4" fontId="4" fillId="0" borderId="37" xfId="58" applyNumberFormat="1" applyFont="1" applyFill="1" applyBorder="1" applyAlignment="1">
      <alignment horizontal="center" vertical="center" wrapText="1"/>
      <protection/>
    </xf>
    <xf numFmtId="39" fontId="4" fillId="0" borderId="37" xfId="0" applyFont="1" applyBorder="1" applyAlignment="1" quotePrefix="1">
      <alignment horizontal="justify" vertical="center" wrapText="1"/>
    </xf>
    <xf numFmtId="177" fontId="15" fillId="0" borderId="0" xfId="52" applyNumberFormat="1" applyFont="1" applyFill="1" applyAlignment="1">
      <alignment/>
    </xf>
    <xf numFmtId="39" fontId="11" fillId="0" borderId="0" xfId="0" applyFont="1" applyAlignment="1">
      <alignment horizontal="justify" vertical="center" wrapText="1"/>
    </xf>
    <xf numFmtId="39" fontId="11" fillId="0" borderId="0" xfId="0" applyFont="1" applyBorder="1" applyAlignment="1" quotePrefix="1">
      <alignment horizontal="justify" vertical="center" wrapText="1"/>
    </xf>
    <xf numFmtId="39" fontId="8" fillId="0" borderId="63" xfId="0" applyFont="1" applyBorder="1" applyAlignment="1">
      <alignment/>
    </xf>
    <xf numFmtId="39" fontId="8" fillId="0" borderId="64" xfId="0" applyFont="1" applyBorder="1" applyAlignment="1">
      <alignment/>
    </xf>
    <xf numFmtId="39" fontId="8" fillId="0" borderId="65" xfId="0" applyFont="1" applyBorder="1" applyAlignment="1" applyProtection="1">
      <alignment horizontal="right"/>
      <protection/>
    </xf>
    <xf numFmtId="37" fontId="8" fillId="0" borderId="66" xfId="0" applyNumberFormat="1" applyFont="1" applyBorder="1" applyAlignment="1" applyProtection="1">
      <alignment/>
      <protection/>
    </xf>
    <xf numFmtId="39" fontId="8" fillId="0" borderId="36" xfId="0" applyFont="1" applyBorder="1" applyAlignment="1" applyProtection="1">
      <alignment/>
      <protection/>
    </xf>
    <xf numFmtId="39" fontId="5" fillId="0" borderId="67" xfId="0" applyFont="1" applyBorder="1" applyAlignment="1">
      <alignment/>
    </xf>
    <xf numFmtId="39" fontId="5" fillId="0" borderId="16" xfId="0" applyFont="1" applyBorder="1" applyAlignment="1">
      <alignment/>
    </xf>
    <xf numFmtId="37" fontId="5" fillId="0" borderId="68" xfId="0" applyNumberFormat="1" applyFont="1" applyBorder="1" applyAlignment="1" applyProtection="1">
      <alignment/>
      <protection/>
    </xf>
    <xf numFmtId="39" fontId="5" fillId="0" borderId="56" xfId="0" applyFont="1" applyBorder="1" applyAlignment="1">
      <alignment/>
    </xf>
    <xf numFmtId="37" fontId="5" fillId="0" borderId="69" xfId="0" applyNumberFormat="1" applyFont="1" applyBorder="1" applyAlignment="1" applyProtection="1">
      <alignment/>
      <protection/>
    </xf>
    <xf numFmtId="39" fontId="5" fillId="0" borderId="57" xfId="0" applyFont="1" applyBorder="1" applyAlignment="1" applyProtection="1">
      <alignment/>
      <protection/>
    </xf>
    <xf numFmtId="39" fontId="8" fillId="0" borderId="70" xfId="0" applyFont="1" applyBorder="1" applyAlignment="1">
      <alignment/>
    </xf>
    <xf numFmtId="39" fontId="8" fillId="0" borderId="54" xfId="0" applyFont="1" applyBorder="1" applyAlignment="1">
      <alignment/>
    </xf>
    <xf numFmtId="39" fontId="5" fillId="0" borderId="54" xfId="0" applyFont="1" applyBorder="1" applyAlignment="1" applyProtection="1">
      <alignment horizontal="center"/>
      <protection/>
    </xf>
    <xf numFmtId="39" fontId="8" fillId="0" borderId="71" xfId="0" applyFont="1" applyBorder="1" applyAlignment="1" applyProtection="1">
      <alignment horizontal="right"/>
      <protection/>
    </xf>
    <xf numFmtId="37" fontId="8" fillId="0" borderId="72" xfId="0" applyNumberFormat="1" applyFont="1" applyBorder="1" applyAlignment="1" applyProtection="1">
      <alignment/>
      <protection/>
    </xf>
    <xf numFmtId="39" fontId="8" fillId="0" borderId="49" xfId="0" applyFont="1" applyBorder="1" applyAlignment="1" applyProtection="1">
      <alignment/>
      <protection/>
    </xf>
    <xf numFmtId="39" fontId="5" fillId="0" borderId="16" xfId="0" applyFont="1" applyBorder="1" applyAlignment="1">
      <alignment horizontal="center"/>
    </xf>
    <xf numFmtId="0" fontId="4" fillId="0" borderId="42" xfId="60" applyBorder="1" applyAlignment="1">
      <alignment horizontal="center" vertical="top" wrapText="1"/>
      <protection/>
    </xf>
    <xf numFmtId="0" fontId="4" fillId="0" borderId="0" xfId="58" applyFill="1" applyBorder="1" applyAlignment="1" quotePrefix="1">
      <alignment horizontal="center"/>
      <protection/>
    </xf>
    <xf numFmtId="0" fontId="21" fillId="0" borderId="23" xfId="58" applyFont="1" applyFill="1" applyBorder="1" applyAlignment="1">
      <alignment horizontal="left" vertical="center"/>
      <protection/>
    </xf>
    <xf numFmtId="0" fontId="1" fillId="0" borderId="14" xfId="58" applyFont="1" applyFill="1" applyBorder="1" applyAlignment="1">
      <alignment horizontal="center" vertical="center"/>
      <protection/>
    </xf>
    <xf numFmtId="0" fontId="1" fillId="0" borderId="14" xfId="58" applyNumberFormat="1" applyFont="1" applyFill="1" applyBorder="1" applyAlignment="1">
      <alignment horizontal="center" vertical="center" wrapText="1"/>
      <protection/>
    </xf>
    <xf numFmtId="4" fontId="1" fillId="0" borderId="14" xfId="58" applyNumberFormat="1" applyFont="1" applyFill="1" applyBorder="1" applyAlignment="1">
      <alignment horizontal="center" vertical="center"/>
      <protection/>
    </xf>
    <xf numFmtId="4" fontId="1" fillId="0" borderId="14" xfId="58" applyNumberFormat="1" applyFont="1" applyFill="1" applyBorder="1" applyAlignment="1">
      <alignment horizontal="center" vertical="center" wrapText="1"/>
      <protection/>
    </xf>
    <xf numFmtId="4" fontId="1" fillId="0" borderId="73" xfId="58" applyNumberFormat="1" applyFont="1" applyFill="1" applyBorder="1" applyAlignment="1">
      <alignment horizontal="center" vertical="center" wrapText="1"/>
      <protection/>
    </xf>
    <xf numFmtId="0" fontId="4" fillId="0" borderId="29" xfId="60" applyBorder="1" applyAlignment="1">
      <alignment horizontal="center" vertical="center"/>
      <protection/>
    </xf>
    <xf numFmtId="0" fontId="7" fillId="0" borderId="0" xfId="58" applyFont="1" applyFill="1" applyAlignment="1">
      <alignment horizontal="center"/>
      <protection/>
    </xf>
    <xf numFmtId="4" fontId="4" fillId="0" borderId="0" xfId="58" applyNumberFormat="1" applyFont="1" applyFill="1" applyBorder="1">
      <alignment/>
      <protection/>
    </xf>
    <xf numFmtId="0" fontId="4" fillId="0" borderId="0" xfId="58" applyFont="1" applyFill="1" applyAlignment="1">
      <alignment vertical="center"/>
      <protection/>
    </xf>
    <xf numFmtId="4" fontId="4" fillId="0" borderId="0" xfId="58" applyNumberFormat="1" applyFont="1" applyFill="1">
      <alignment/>
      <protection/>
    </xf>
    <xf numFmtId="4" fontId="4" fillId="0" borderId="49" xfId="58" applyNumberFormat="1" applyFont="1" applyFill="1" applyBorder="1" applyAlignment="1">
      <alignment horizontal="center" vertical="center"/>
      <protection/>
    </xf>
    <xf numFmtId="0" fontId="4" fillId="0" borderId="0" xfId="58" applyFont="1" applyFill="1">
      <alignment/>
      <protection/>
    </xf>
    <xf numFmtId="39" fontId="22" fillId="0" borderId="0" xfId="0" applyFont="1" applyAlignment="1">
      <alignment/>
    </xf>
    <xf numFmtId="39" fontId="18" fillId="33" borderId="73" xfId="0" applyFont="1" applyFill="1" applyBorder="1" applyAlignment="1">
      <alignment/>
    </xf>
    <xf numFmtId="39" fontId="36" fillId="0" borderId="0" xfId="0" applyFont="1" applyAlignment="1">
      <alignment/>
    </xf>
    <xf numFmtId="39" fontId="11" fillId="0" borderId="0" xfId="0" applyFont="1" applyAlignment="1">
      <alignment/>
    </xf>
    <xf numFmtId="39" fontId="38" fillId="0" borderId="0" xfId="0" applyFont="1" applyAlignment="1">
      <alignment/>
    </xf>
    <xf numFmtId="37" fontId="38" fillId="0" borderId="0" xfId="0" applyNumberFormat="1" applyFont="1" applyAlignment="1" applyProtection="1">
      <alignment/>
      <protection/>
    </xf>
    <xf numFmtId="39" fontId="39" fillId="0" borderId="0" xfId="0" applyFont="1" applyAlignment="1">
      <alignment/>
    </xf>
    <xf numFmtId="39" fontId="40" fillId="0" borderId="0" xfId="0" applyFont="1" applyAlignment="1">
      <alignment/>
    </xf>
    <xf numFmtId="37" fontId="40" fillId="0" borderId="0" xfId="0" applyNumberFormat="1" applyFont="1" applyAlignment="1" applyProtection="1">
      <alignment/>
      <protection/>
    </xf>
    <xf numFmtId="4" fontId="5" fillId="0" borderId="22" xfId="0" applyNumberFormat="1" applyFont="1" applyBorder="1" applyAlignment="1" applyProtection="1">
      <alignment/>
      <protection/>
    </xf>
    <xf numFmtId="4" fontId="5" fillId="0" borderId="34" xfId="0" applyNumberFormat="1" applyFont="1" applyBorder="1" applyAlignment="1" applyProtection="1">
      <alignment/>
      <protection/>
    </xf>
    <xf numFmtId="4" fontId="5" fillId="0" borderId="62" xfId="0" applyNumberFormat="1" applyFont="1" applyBorder="1" applyAlignment="1" applyProtection="1">
      <alignment/>
      <protection/>
    </xf>
    <xf numFmtId="4" fontId="8" fillId="0" borderId="60" xfId="0" applyNumberFormat="1" applyFont="1" applyBorder="1" applyAlignment="1" applyProtection="1">
      <alignment/>
      <protection/>
    </xf>
    <xf numFmtId="4" fontId="8" fillId="0" borderId="55" xfId="0" applyNumberFormat="1" applyFont="1" applyBorder="1" applyAlignment="1" applyProtection="1">
      <alignment/>
      <protection/>
    </xf>
    <xf numFmtId="4" fontId="8" fillId="0" borderId="74" xfId="0" applyNumberFormat="1" applyFont="1" applyBorder="1" applyAlignment="1" applyProtection="1">
      <alignment/>
      <protection/>
    </xf>
    <xf numFmtId="4" fontId="8" fillId="0" borderId="37" xfId="0" applyNumberFormat="1" applyFont="1" applyBorder="1" applyAlignment="1" applyProtection="1">
      <alignment/>
      <protection/>
    </xf>
    <xf numFmtId="4" fontId="5" fillId="0" borderId="62" xfId="0" applyNumberFormat="1" applyFont="1" applyBorder="1" applyAlignment="1">
      <alignment/>
    </xf>
    <xf numFmtId="4" fontId="8" fillId="0" borderId="75" xfId="0" applyNumberFormat="1" applyFont="1" applyBorder="1" applyAlignment="1" applyProtection="1">
      <alignment/>
      <protection/>
    </xf>
    <xf numFmtId="4" fontId="8" fillId="0" borderId="66" xfId="0" applyNumberFormat="1" applyFont="1" applyBorder="1" applyAlignment="1" applyProtection="1">
      <alignment/>
      <protection/>
    </xf>
    <xf numFmtId="4" fontId="8" fillId="0" borderId="36" xfId="0" applyNumberFormat="1" applyFont="1" applyBorder="1" applyAlignment="1" applyProtection="1">
      <alignment/>
      <protection/>
    </xf>
    <xf numFmtId="4" fontId="5" fillId="0" borderId="68" xfId="0" applyNumberFormat="1" applyFont="1" applyBorder="1" applyAlignment="1" applyProtection="1">
      <alignment/>
      <protection/>
    </xf>
    <xf numFmtId="4" fontId="5" fillId="0" borderId="36" xfId="0" applyNumberFormat="1" applyFont="1" applyBorder="1" applyAlignment="1" applyProtection="1">
      <alignment/>
      <protection/>
    </xf>
    <xf numFmtId="4" fontId="5" fillId="0" borderId="76" xfId="0" applyNumberFormat="1" applyFont="1" applyBorder="1" applyAlignment="1">
      <alignment/>
    </xf>
    <xf numFmtId="4" fontId="5" fillId="0" borderId="38" xfId="0" applyNumberFormat="1" applyFont="1" applyBorder="1" applyAlignment="1" applyProtection="1">
      <alignment/>
      <protection/>
    </xf>
    <xf numFmtId="4" fontId="5" fillId="0" borderId="17" xfId="0" applyNumberFormat="1" applyFont="1" applyBorder="1" applyAlignment="1" applyProtection="1">
      <alignment/>
      <protection/>
    </xf>
    <xf numFmtId="4" fontId="5" fillId="0" borderId="69" xfId="0" applyNumberFormat="1" applyFont="1" applyBorder="1" applyAlignment="1" applyProtection="1">
      <alignment/>
      <protection/>
    </xf>
    <xf numFmtId="4" fontId="5" fillId="0" borderId="49" xfId="0" applyNumberFormat="1" applyFont="1" applyBorder="1" applyAlignment="1" applyProtection="1">
      <alignment/>
      <protection/>
    </xf>
    <xf numFmtId="4" fontId="5" fillId="0" borderId="71" xfId="0" applyNumberFormat="1" applyFont="1" applyBorder="1" applyAlignment="1" applyProtection="1">
      <alignment/>
      <protection/>
    </xf>
    <xf numFmtId="4" fontId="5" fillId="0" borderId="56" xfId="0" applyNumberFormat="1" applyFont="1" applyBorder="1" applyAlignment="1" applyProtection="1">
      <alignment/>
      <protection/>
    </xf>
    <xf numFmtId="4" fontId="5" fillId="0" borderId="67" xfId="0" applyNumberFormat="1" applyFont="1" applyBorder="1" applyAlignment="1" applyProtection="1">
      <alignment/>
      <protection/>
    </xf>
    <xf numFmtId="4" fontId="5" fillId="0" borderId="76" xfId="0" applyNumberFormat="1" applyFont="1" applyBorder="1" applyAlignment="1" applyProtection="1">
      <alignment/>
      <protection/>
    </xf>
    <xf numFmtId="4" fontId="5" fillId="0" borderId="52" xfId="0" applyNumberFormat="1" applyFont="1" applyBorder="1" applyAlignment="1" applyProtection="1">
      <alignment/>
      <protection/>
    </xf>
    <xf numFmtId="4" fontId="8" fillId="0" borderId="72" xfId="0" applyNumberFormat="1" applyFont="1" applyBorder="1" applyAlignment="1" applyProtection="1">
      <alignment/>
      <protection/>
    </xf>
    <xf numFmtId="4" fontId="8" fillId="0" borderId="77" xfId="0" applyNumberFormat="1" applyFont="1" applyBorder="1" applyAlignment="1" applyProtection="1">
      <alignment/>
      <protection/>
    </xf>
    <xf numFmtId="4" fontId="8" fillId="0" borderId="49" xfId="0" applyNumberFormat="1" applyFont="1" applyBorder="1" applyAlignment="1" applyProtection="1">
      <alignment/>
      <protection/>
    </xf>
    <xf numFmtId="4" fontId="5" fillId="0" borderId="71" xfId="0" applyNumberFormat="1" applyFont="1" applyBorder="1" applyAlignment="1">
      <alignment/>
    </xf>
    <xf numFmtId="4" fontId="8" fillId="0" borderId="61" xfId="0" applyNumberFormat="1" applyFont="1" applyBorder="1" applyAlignment="1" applyProtection="1">
      <alignment/>
      <protection/>
    </xf>
    <xf numFmtId="4" fontId="8" fillId="0" borderId="73" xfId="0" applyNumberFormat="1" applyFont="1" applyBorder="1" applyAlignment="1" applyProtection="1">
      <alignment/>
      <protection/>
    </xf>
    <xf numFmtId="4" fontId="8" fillId="0" borderId="71" xfId="0" applyNumberFormat="1" applyFont="1" applyBorder="1" applyAlignment="1" applyProtection="1">
      <alignment/>
      <protection/>
    </xf>
    <xf numFmtId="4" fontId="8" fillId="0" borderId="78" xfId="0" applyNumberFormat="1" applyFont="1" applyBorder="1" applyAlignment="1" applyProtection="1">
      <alignment/>
      <protection/>
    </xf>
    <xf numFmtId="4" fontId="8" fillId="0" borderId="15" xfId="0" applyNumberFormat="1" applyFont="1" applyBorder="1" applyAlignment="1" applyProtection="1">
      <alignment/>
      <protection/>
    </xf>
    <xf numFmtId="37" fontId="8" fillId="0" borderId="79" xfId="0" applyNumberFormat="1" applyFont="1" applyBorder="1" applyAlignment="1" applyProtection="1">
      <alignment/>
      <protection/>
    </xf>
    <xf numFmtId="39" fontId="5" fillId="0" borderId="0" xfId="0" applyFont="1" applyAlignment="1">
      <alignment vertical="center" wrapText="1"/>
    </xf>
    <xf numFmtId="39" fontId="40" fillId="0" borderId="0" xfId="0" applyFont="1" applyAlignment="1">
      <alignment vertical="center" wrapText="1"/>
    </xf>
    <xf numFmtId="39" fontId="41" fillId="0" borderId="0" xfId="0" applyFont="1" applyAlignment="1">
      <alignment vertical="center" wrapText="1"/>
    </xf>
    <xf numFmtId="39" fontId="7" fillId="0" borderId="0" xfId="0" applyFont="1" applyAlignment="1" applyProtection="1">
      <alignment/>
      <protection/>
    </xf>
    <xf numFmtId="39" fontId="7" fillId="0" borderId="0" xfId="0" applyFont="1" applyAlignment="1" applyProtection="1" quotePrefix="1">
      <alignment/>
      <protection/>
    </xf>
    <xf numFmtId="39" fontId="37" fillId="0" borderId="0" xfId="0" applyFont="1" applyAlignment="1">
      <alignment/>
    </xf>
    <xf numFmtId="39" fontId="11" fillId="0" borderId="0" xfId="0" applyFont="1" applyBorder="1" applyAlignment="1">
      <alignment vertical="center" wrapText="1"/>
    </xf>
    <xf numFmtId="39" fontId="11" fillId="0" borderId="0" xfId="0" applyFont="1" applyAlignment="1">
      <alignment vertical="center" wrapText="1"/>
    </xf>
    <xf numFmtId="16" fontId="4" fillId="0" borderId="49" xfId="58" applyNumberFormat="1" applyFont="1" applyFill="1" applyBorder="1" applyAlignment="1">
      <alignment horizontal="center" vertical="center"/>
      <protection/>
    </xf>
    <xf numFmtId="39" fontId="7" fillId="0" borderId="0" xfId="0" applyFont="1" applyAlignment="1">
      <alignment/>
    </xf>
    <xf numFmtId="39" fontId="30" fillId="33" borderId="73" xfId="0" applyFont="1" applyFill="1" applyBorder="1" applyAlignment="1">
      <alignment/>
    </xf>
    <xf numFmtId="39" fontId="42" fillId="0" borderId="0" xfId="0" applyFont="1" applyAlignment="1">
      <alignment/>
    </xf>
    <xf numFmtId="0" fontId="8" fillId="0" borderId="0" xfId="58" applyFont="1" applyFill="1" applyAlignment="1">
      <alignment horizontal="justify" wrapText="1"/>
      <protection/>
    </xf>
    <xf numFmtId="39" fontId="38" fillId="0" borderId="0" xfId="0" applyFont="1" applyAlignment="1">
      <alignment vertical="center" wrapText="1"/>
    </xf>
    <xf numFmtId="0" fontId="4" fillId="0" borderId="49" xfId="58" applyNumberFormat="1" applyFont="1" applyFill="1" applyBorder="1" applyAlignment="1">
      <alignment horizontal="justify" vertical="center" wrapText="1"/>
      <protection/>
    </xf>
    <xf numFmtId="176" fontId="4" fillId="0" borderId="0" xfId="51" applyFont="1" applyFill="1" applyBorder="1" applyAlignment="1">
      <alignment vertical="center"/>
    </xf>
    <xf numFmtId="0" fontId="4" fillId="0" borderId="29" xfId="60" applyFont="1" applyBorder="1" applyAlignment="1" quotePrefix="1">
      <alignment horizontal="center" vertical="center"/>
      <protection/>
    </xf>
    <xf numFmtId="39" fontId="29" fillId="33" borderId="29" xfId="0" applyFont="1" applyFill="1" applyBorder="1" applyAlignment="1">
      <alignment/>
    </xf>
    <xf numFmtId="39" fontId="30" fillId="33" borderId="53" xfId="0" applyFont="1" applyFill="1" applyBorder="1" applyAlignment="1">
      <alignment/>
    </xf>
    <xf numFmtId="39" fontId="4" fillId="0" borderId="34" xfId="0" applyFont="1" applyBorder="1" applyAlignment="1" quotePrefix="1">
      <alignment horizontal="justify" vertical="center" wrapText="1"/>
    </xf>
    <xf numFmtId="176" fontId="1" fillId="0" borderId="37" xfId="51" applyFont="1" applyFill="1" applyBorder="1" applyAlignment="1">
      <alignment vertical="center"/>
    </xf>
    <xf numFmtId="39" fontId="43" fillId="0" borderId="0" xfId="0" applyFont="1" applyAlignment="1">
      <alignment/>
    </xf>
    <xf numFmtId="39" fontId="44" fillId="0" borderId="0" xfId="0" applyFont="1" applyAlignment="1">
      <alignment/>
    </xf>
    <xf numFmtId="39" fontId="45" fillId="0" borderId="0" xfId="0" applyFont="1" applyAlignment="1">
      <alignment horizontal="justify" vertical="center" wrapText="1"/>
    </xf>
    <xf numFmtId="176" fontId="1" fillId="0" borderId="0" xfId="51" applyFont="1" applyFill="1" applyBorder="1" applyAlignment="1">
      <alignment vertical="center"/>
    </xf>
    <xf numFmtId="39" fontId="28" fillId="0" borderId="58" xfId="0" applyFont="1" applyBorder="1" applyAlignment="1">
      <alignment horizontal="center" vertical="center" wrapText="1"/>
    </xf>
    <xf numFmtId="39" fontId="28" fillId="0" borderId="59" xfId="0" applyFont="1" applyBorder="1" applyAlignment="1">
      <alignment horizontal="center" vertical="center" wrapText="1"/>
    </xf>
    <xf numFmtId="39" fontId="28" fillId="0" borderId="53" xfId="0" applyFont="1" applyBorder="1" applyAlignment="1">
      <alignment horizontal="center" vertical="center" wrapText="1"/>
    </xf>
    <xf numFmtId="4" fontId="1" fillId="33" borderId="49" xfId="0" applyNumberFormat="1" applyFont="1" applyFill="1" applyBorder="1" applyAlignment="1">
      <alignment horizontal="center" vertical="center"/>
    </xf>
    <xf numFmtId="49" fontId="4" fillId="0" borderId="0" xfId="60" applyNumberFormat="1" applyFont="1" applyBorder="1" applyAlignment="1">
      <alignment horizontal="justify" vertical="top" wrapText="1"/>
      <protection/>
    </xf>
    <xf numFmtId="39" fontId="5" fillId="0" borderId="0" xfId="0" applyFont="1" applyFill="1" applyAlignment="1">
      <alignment/>
    </xf>
    <xf numFmtId="39" fontId="5" fillId="0" borderId="29" xfId="0" applyNumberFormat="1" applyFont="1" applyFill="1" applyBorder="1" applyAlignment="1" applyProtection="1">
      <alignment/>
      <protection/>
    </xf>
    <xf numFmtId="4" fontId="5" fillId="0" borderId="29" xfId="0" applyNumberFormat="1" applyFont="1" applyFill="1" applyBorder="1" applyAlignment="1" applyProtection="1">
      <alignment/>
      <protection/>
    </xf>
    <xf numFmtId="4" fontId="5" fillId="0" borderId="80" xfId="0" applyNumberFormat="1" applyFont="1" applyFill="1" applyBorder="1" applyAlignment="1" applyProtection="1">
      <alignment/>
      <protection/>
    </xf>
    <xf numFmtId="4" fontId="0" fillId="0" borderId="29" xfId="0" applyNumberFormat="1" applyFill="1" applyBorder="1" applyAlignment="1">
      <alignment/>
    </xf>
    <xf numFmtId="4" fontId="5" fillId="0" borderId="58" xfId="0" applyNumberFormat="1" applyFont="1" applyFill="1" applyBorder="1" applyAlignment="1" applyProtection="1">
      <alignment/>
      <protection/>
    </xf>
    <xf numFmtId="39" fontId="11" fillId="0" borderId="0" xfId="0" applyFont="1" applyFill="1" applyAlignment="1">
      <alignment vertical="center" wrapText="1"/>
    </xf>
    <xf numFmtId="39" fontId="11" fillId="0" borderId="0" xfId="0" applyFont="1" applyFill="1" applyAlignment="1">
      <alignment horizontal="justify" vertical="center" wrapText="1"/>
    </xf>
    <xf numFmtId="37" fontId="38" fillId="0" borderId="0" xfId="0" applyNumberFormat="1" applyFont="1" applyFill="1" applyAlignment="1" applyProtection="1">
      <alignment/>
      <protection/>
    </xf>
    <xf numFmtId="37" fontId="40" fillId="0" borderId="0" xfId="0" applyNumberFormat="1" applyFont="1" applyFill="1" applyAlignment="1" applyProtection="1">
      <alignment/>
      <protection/>
    </xf>
    <xf numFmtId="37" fontId="26" fillId="0" borderId="0" xfId="0" applyNumberFormat="1" applyFont="1" applyFill="1" applyAlignment="1" applyProtection="1">
      <alignment/>
      <protection/>
    </xf>
    <xf numFmtId="37" fontId="0" fillId="0" borderId="0" xfId="0" applyNumberFormat="1" applyFill="1" applyAlignment="1" applyProtection="1">
      <alignment/>
      <protection/>
    </xf>
    <xf numFmtId="39" fontId="0" fillId="0" borderId="0" xfId="0" applyFill="1" applyAlignment="1">
      <alignment/>
    </xf>
    <xf numFmtId="39" fontId="5" fillId="0" borderId="80" xfId="0" applyNumberFormat="1" applyFont="1" applyFill="1" applyBorder="1" applyAlignment="1" applyProtection="1">
      <alignment/>
      <protection/>
    </xf>
    <xf numFmtId="39" fontId="5" fillId="0" borderId="53" xfId="0" applyNumberFormat="1" applyFont="1" applyFill="1" applyBorder="1" applyAlignment="1" applyProtection="1">
      <alignment/>
      <protection/>
    </xf>
    <xf numFmtId="39" fontId="5" fillId="0" borderId="30" xfId="0" applyNumberFormat="1" applyFont="1" applyFill="1" applyBorder="1" applyAlignment="1" applyProtection="1">
      <alignment/>
      <protection/>
    </xf>
    <xf numFmtId="4" fontId="5" fillId="0" borderId="30" xfId="0" applyNumberFormat="1" applyFont="1" applyFill="1" applyBorder="1" applyAlignment="1" applyProtection="1">
      <alignment/>
      <protection/>
    </xf>
    <xf numFmtId="4" fontId="5" fillId="0" borderId="55" xfId="0" applyNumberFormat="1" applyFont="1" applyFill="1" applyBorder="1" applyAlignment="1" applyProtection="1">
      <alignment/>
      <protection/>
    </xf>
    <xf numFmtId="4" fontId="8" fillId="0" borderId="58" xfId="0" applyNumberFormat="1" applyFont="1" applyFill="1" applyBorder="1" applyAlignment="1" applyProtection="1">
      <alignment/>
      <protection/>
    </xf>
    <xf numFmtId="4" fontId="8" fillId="0" borderId="55" xfId="0" applyNumberFormat="1" applyFont="1" applyFill="1" applyBorder="1" applyAlignment="1" applyProtection="1">
      <alignment/>
      <protection/>
    </xf>
    <xf numFmtId="4" fontId="0" fillId="0" borderId="30" xfId="0" applyNumberFormat="1" applyFill="1" applyBorder="1" applyAlignment="1">
      <alignment/>
    </xf>
    <xf numFmtId="4" fontId="5" fillId="0" borderId="53" xfId="0" applyNumberFormat="1" applyFont="1" applyFill="1" applyBorder="1" applyAlignment="1" applyProtection="1">
      <alignment/>
      <protection/>
    </xf>
    <xf numFmtId="176" fontId="4" fillId="0" borderId="30" xfId="51" applyFill="1" applyBorder="1" applyAlignment="1">
      <alignment horizontal="center" vertical="top" wrapText="1"/>
    </xf>
    <xf numFmtId="4" fontId="4" fillId="0" borderId="30" xfId="60" applyNumberFormat="1" applyFill="1" applyBorder="1" applyAlignment="1">
      <alignment horizontal="center" vertical="center" wrapText="1"/>
      <protection/>
    </xf>
    <xf numFmtId="4" fontId="4" fillId="0" borderId="45" xfId="60" applyNumberFormat="1" applyFill="1" applyBorder="1" applyAlignment="1">
      <alignment horizontal="center" vertical="center"/>
      <protection/>
    </xf>
    <xf numFmtId="4" fontId="4" fillId="0" borderId="27" xfId="60" applyNumberFormat="1" applyFill="1" applyBorder="1" applyAlignment="1">
      <alignment horizontal="center"/>
      <protection/>
    </xf>
    <xf numFmtId="4" fontId="4" fillId="0" borderId="30" xfId="60" applyNumberFormat="1" applyFont="1" applyFill="1" applyBorder="1" applyAlignment="1">
      <alignment horizontal="center" vertical="center" wrapText="1"/>
      <protection/>
    </xf>
    <xf numFmtId="4" fontId="4" fillId="0" borderId="30" xfId="60" applyNumberFormat="1" applyFill="1" applyBorder="1" applyAlignment="1">
      <alignment horizontal="center"/>
      <protection/>
    </xf>
    <xf numFmtId="4" fontId="4" fillId="0" borderId="45" xfId="60" applyNumberFormat="1" applyFill="1" applyBorder="1" applyAlignment="1">
      <alignment horizontal="center" vertical="center" wrapText="1"/>
      <protection/>
    </xf>
    <xf numFmtId="4" fontId="4" fillId="0" borderId="34" xfId="60" applyNumberFormat="1" applyFill="1" applyBorder="1">
      <alignment/>
      <protection/>
    </xf>
    <xf numFmtId="4" fontId="4" fillId="0" borderId="34" xfId="60" applyNumberFormat="1" applyFill="1" applyBorder="1" applyAlignment="1">
      <alignment horizontal="center" vertical="justify"/>
      <protection/>
    </xf>
    <xf numFmtId="4" fontId="4" fillId="0" borderId="30" xfId="60" applyNumberFormat="1" applyFill="1" applyBorder="1" applyAlignment="1">
      <alignment horizontal="center" vertical="justify"/>
      <protection/>
    </xf>
    <xf numFmtId="2" fontId="16" fillId="0" borderId="37" xfId="52" applyNumberFormat="1" applyFont="1" applyFill="1" applyBorder="1" applyAlignment="1">
      <alignment/>
    </xf>
    <xf numFmtId="2" fontId="15" fillId="0" borderId="30" xfId="52" applyNumberFormat="1" applyFont="1" applyFill="1" applyBorder="1" applyAlignment="1">
      <alignment/>
    </xf>
    <xf numFmtId="2" fontId="17" fillId="0" borderId="37" xfId="52" applyNumberFormat="1" applyFont="1" applyFill="1" applyBorder="1" applyAlignment="1">
      <alignment/>
    </xf>
    <xf numFmtId="2" fontId="15" fillId="0" borderId="37" xfId="52" applyNumberFormat="1" applyFont="1" applyFill="1" applyBorder="1" applyAlignment="1">
      <alignment/>
    </xf>
    <xf numFmtId="2" fontId="16" fillId="0" borderId="37" xfId="52" applyNumberFormat="1" applyFont="1" applyFill="1" applyBorder="1" applyAlignment="1">
      <alignment/>
    </xf>
    <xf numFmtId="2" fontId="16" fillId="0" borderId="37" xfId="52" applyNumberFormat="1" applyFont="1" applyFill="1" applyBorder="1" applyAlignment="1">
      <alignment horizontal="center"/>
    </xf>
    <xf numFmtId="172" fontId="16" fillId="0" borderId="37" xfId="52" applyNumberFormat="1" applyFont="1" applyFill="1" applyBorder="1" applyAlignment="1">
      <alignment/>
    </xf>
    <xf numFmtId="0" fontId="4" fillId="0" borderId="29" xfId="60" applyFont="1" applyBorder="1" applyAlignment="1" quotePrefix="1">
      <alignment horizontal="center" vertical="top"/>
      <protection/>
    </xf>
    <xf numFmtId="4" fontId="4" fillId="0" borderId="30" xfId="60" applyNumberFormat="1" applyFont="1" applyFill="1" applyBorder="1" applyAlignment="1">
      <alignment horizontal="center" vertical="center"/>
      <protection/>
    </xf>
    <xf numFmtId="49" fontId="4" fillId="0" borderId="49" xfId="58" applyNumberFormat="1" applyFont="1" applyFill="1" applyBorder="1" applyAlignment="1">
      <alignment horizontal="center" vertical="center"/>
      <protection/>
    </xf>
    <xf numFmtId="0" fontId="4" fillId="0" borderId="37" xfId="58" applyFont="1" applyFill="1" applyBorder="1" applyAlignment="1">
      <alignment horizontal="center" vertical="center"/>
      <protection/>
    </xf>
    <xf numFmtId="0" fontId="4" fillId="0" borderId="37" xfId="58" applyNumberFormat="1" applyFont="1" applyFill="1" applyBorder="1" applyAlignment="1">
      <alignment horizontal="center" vertical="center" wrapText="1"/>
      <protection/>
    </xf>
    <xf numFmtId="0" fontId="4" fillId="0" borderId="30" xfId="60" applyFont="1" applyBorder="1" applyAlignment="1">
      <alignment horizontal="justify" vertical="top" wrapText="1"/>
      <protection/>
    </xf>
    <xf numFmtId="4" fontId="5" fillId="0" borderId="29" xfId="0" applyNumberFormat="1" applyFont="1" applyFill="1" applyBorder="1" applyAlignment="1" applyProtection="1" quotePrefix="1">
      <alignment horizontal="right"/>
      <protection/>
    </xf>
    <xf numFmtId="4" fontId="4" fillId="0" borderId="0" xfId="0" applyNumberFormat="1" applyFont="1" applyBorder="1" applyAlignment="1">
      <alignment vertical="center"/>
    </xf>
    <xf numFmtId="4" fontId="4" fillId="0" borderId="0" xfId="0" applyNumberFormat="1" applyFont="1" applyFill="1" applyBorder="1" applyAlignment="1">
      <alignment vertical="center"/>
    </xf>
    <xf numFmtId="4" fontId="8" fillId="0" borderId="18" xfId="0" applyNumberFormat="1" applyFont="1" applyFill="1" applyBorder="1" applyAlignment="1" applyProtection="1">
      <alignment/>
      <protection/>
    </xf>
    <xf numFmtId="4" fontId="8" fillId="0" borderId="63" xfId="0" applyNumberFormat="1" applyFont="1" applyFill="1" applyBorder="1" applyAlignment="1" applyProtection="1">
      <alignment/>
      <protection/>
    </xf>
    <xf numFmtId="4" fontId="8" fillId="0" borderId="70" xfId="0" applyNumberFormat="1" applyFont="1" applyFill="1" applyBorder="1" applyAlignment="1" applyProtection="1">
      <alignment/>
      <protection/>
    </xf>
    <xf numFmtId="4" fontId="8" fillId="0" borderId="23" xfId="0" applyNumberFormat="1" applyFont="1" applyFill="1" applyBorder="1" applyAlignment="1" applyProtection="1">
      <alignment/>
      <protection/>
    </xf>
    <xf numFmtId="4" fontId="8" fillId="0" borderId="19" xfId="0" applyNumberFormat="1" applyFont="1" applyFill="1" applyBorder="1" applyAlignment="1" applyProtection="1">
      <alignment/>
      <protection/>
    </xf>
    <xf numFmtId="0" fontId="5" fillId="0" borderId="0" xfId="59" applyFont="1" applyFill="1">
      <alignment/>
      <protection/>
    </xf>
    <xf numFmtId="0" fontId="7" fillId="0" borderId="0" xfId="59" applyFont="1" applyFill="1" applyAlignment="1">
      <alignment horizontal="center"/>
      <protection/>
    </xf>
    <xf numFmtId="0" fontId="8" fillId="0" borderId="0" xfId="59" applyFont="1" applyFill="1" applyAlignment="1">
      <alignment horizontal="center"/>
      <protection/>
    </xf>
    <xf numFmtId="4" fontId="5" fillId="0" borderId="0" xfId="59" applyNumberFormat="1" applyFont="1" applyFill="1">
      <alignment/>
      <protection/>
    </xf>
    <xf numFmtId="4" fontId="5" fillId="0" borderId="0" xfId="59" applyNumberFormat="1" applyFont="1" applyFill="1" applyBorder="1">
      <alignment/>
      <protection/>
    </xf>
    <xf numFmtId="4" fontId="4" fillId="0" borderId="0" xfId="59" applyNumberFormat="1" applyFont="1" applyFill="1" applyBorder="1" applyAlignment="1">
      <alignment horizontal="center" vertical="center" wrapText="1"/>
      <protection/>
    </xf>
    <xf numFmtId="4" fontId="4" fillId="0" borderId="34" xfId="59" applyNumberFormat="1" applyFont="1" applyFill="1" applyBorder="1" applyAlignment="1">
      <alignment horizontal="center" vertical="center" wrapText="1"/>
      <protection/>
    </xf>
    <xf numFmtId="0" fontId="4" fillId="0" borderId="36" xfId="59" applyFont="1" applyFill="1" applyBorder="1">
      <alignment/>
      <protection/>
    </xf>
    <xf numFmtId="4" fontId="4" fillId="0" borderId="36" xfId="59" applyNumberFormat="1" applyFont="1" applyFill="1" applyBorder="1">
      <alignment/>
      <protection/>
    </xf>
    <xf numFmtId="4" fontId="4" fillId="0" borderId="0" xfId="59" applyNumberFormat="1" applyFont="1" applyFill="1" applyBorder="1">
      <alignment/>
      <protection/>
    </xf>
    <xf numFmtId="4" fontId="4" fillId="0" borderId="34" xfId="59" applyNumberFormat="1" applyFont="1" applyFill="1" applyBorder="1">
      <alignment/>
      <protection/>
    </xf>
    <xf numFmtId="4" fontId="4" fillId="0" borderId="80" xfId="59" applyNumberFormat="1" applyFont="1" applyFill="1" applyBorder="1">
      <alignment/>
      <protection/>
    </xf>
    <xf numFmtId="4" fontId="4" fillId="0" borderId="53" xfId="59" applyNumberFormat="1" applyFont="1" applyFill="1" applyBorder="1">
      <alignment/>
      <protection/>
    </xf>
    <xf numFmtId="4" fontId="4" fillId="0" borderId="29" xfId="59" applyNumberFormat="1" applyFont="1" applyFill="1" applyBorder="1">
      <alignment/>
      <protection/>
    </xf>
    <xf numFmtId="0" fontId="5" fillId="0" borderId="30" xfId="59" applyFont="1" applyFill="1" applyBorder="1">
      <alignment/>
      <protection/>
    </xf>
    <xf numFmtId="0" fontId="33" fillId="0" borderId="34" xfId="59" applyFont="1" applyFill="1" applyBorder="1" applyAlignment="1">
      <alignment vertical="center" wrapText="1"/>
      <protection/>
    </xf>
    <xf numFmtId="4" fontId="4" fillId="0" borderId="34" xfId="59" applyNumberFormat="1" applyFont="1" applyFill="1" applyBorder="1" applyAlignment="1">
      <alignment horizontal="center" vertical="center"/>
      <protection/>
    </xf>
    <xf numFmtId="4" fontId="4" fillId="0" borderId="0" xfId="59" applyNumberFormat="1" applyFont="1" applyFill="1" applyBorder="1" applyAlignment="1">
      <alignment horizontal="center" vertical="center"/>
      <protection/>
    </xf>
    <xf numFmtId="4" fontId="4" fillId="0" borderId="29" xfId="59" applyNumberFormat="1" applyFont="1" applyFill="1" applyBorder="1" applyAlignment="1">
      <alignment horizontal="center" vertical="center"/>
      <protection/>
    </xf>
    <xf numFmtId="0" fontId="8" fillId="0" borderId="30" xfId="59" applyFont="1" applyFill="1" applyBorder="1" applyAlignment="1" quotePrefix="1">
      <alignment horizontal="center" vertical="center"/>
      <protection/>
    </xf>
    <xf numFmtId="0" fontId="8" fillId="0" borderId="0" xfId="59" applyFont="1" applyFill="1" applyAlignment="1" quotePrefix="1">
      <alignment horizontal="center" vertical="center"/>
      <protection/>
    </xf>
    <xf numFmtId="0" fontId="8" fillId="0" borderId="30" xfId="59" applyFont="1" applyFill="1" applyBorder="1" applyAlignment="1" quotePrefix="1">
      <alignment vertical="center"/>
      <protection/>
    </xf>
    <xf numFmtId="0" fontId="4" fillId="0" borderId="34" xfId="59" applyFont="1" applyFill="1" applyBorder="1" applyAlignment="1">
      <alignment horizontal="justify" vertical="center" wrapText="1"/>
      <protection/>
    </xf>
    <xf numFmtId="4" fontId="4" fillId="0" borderId="34" xfId="59" applyNumberFormat="1" applyFont="1" applyFill="1" applyBorder="1" applyAlignment="1">
      <alignment horizontal="center"/>
      <protection/>
    </xf>
    <xf numFmtId="4" fontId="4" fillId="0" borderId="0" xfId="59" applyNumberFormat="1" applyFont="1" applyFill="1" applyBorder="1" applyAlignment="1">
      <alignment horizontal="center"/>
      <protection/>
    </xf>
    <xf numFmtId="4" fontId="4" fillId="0" borderId="30" xfId="59" applyNumberFormat="1" applyFont="1" applyFill="1" applyBorder="1" applyAlignment="1">
      <alignment horizontal="center" vertical="center"/>
      <protection/>
    </xf>
    <xf numFmtId="0" fontId="5" fillId="0" borderId="0" xfId="59" applyFont="1" applyFill="1" applyAlignment="1">
      <alignment horizontal="center" vertical="center"/>
      <protection/>
    </xf>
    <xf numFmtId="0" fontId="5" fillId="0" borderId="30" xfId="59" applyFont="1" applyFill="1" applyBorder="1" applyAlignment="1">
      <alignment vertical="center"/>
      <protection/>
    </xf>
    <xf numFmtId="4" fontId="4" fillId="0" borderId="29" xfId="59" applyNumberFormat="1" applyFont="1" applyFill="1" applyBorder="1" applyAlignment="1">
      <alignment horizontal="center"/>
      <protection/>
    </xf>
    <xf numFmtId="4" fontId="4" fillId="0" borderId="30" xfId="59" applyNumberFormat="1" applyFont="1" applyFill="1" applyBorder="1" applyAlignment="1">
      <alignment horizontal="center"/>
      <protection/>
    </xf>
    <xf numFmtId="0" fontId="33" fillId="0" borderId="34" xfId="59" applyFont="1" applyFill="1" applyBorder="1" applyAlignment="1">
      <alignment vertical="center"/>
      <protection/>
    </xf>
    <xf numFmtId="4" fontId="5" fillId="0" borderId="0" xfId="59" applyNumberFormat="1" applyFont="1" applyFill="1" applyAlignment="1">
      <alignment vertical="center"/>
      <protection/>
    </xf>
    <xf numFmtId="0" fontId="5" fillId="0" borderId="0" xfId="59" applyFont="1" applyFill="1" applyAlignment="1">
      <alignment vertical="center"/>
      <protection/>
    </xf>
    <xf numFmtId="178" fontId="4" fillId="0" borderId="34" xfId="59" applyNumberFormat="1" applyFont="1" applyFill="1" applyBorder="1" applyAlignment="1">
      <alignment horizontal="center" vertical="center"/>
      <protection/>
    </xf>
    <xf numFmtId="178" fontId="4" fillId="0" borderId="0" xfId="59" applyNumberFormat="1" applyFont="1" applyFill="1" applyBorder="1" applyAlignment="1">
      <alignment horizontal="center" vertical="center"/>
      <protection/>
    </xf>
    <xf numFmtId="179" fontId="4" fillId="0" borderId="34" xfId="59" applyNumberFormat="1" applyFont="1" applyFill="1" applyBorder="1" applyAlignment="1">
      <alignment horizontal="center" vertical="center"/>
      <protection/>
    </xf>
    <xf numFmtId="179" fontId="4" fillId="0" borderId="29" xfId="59" applyNumberFormat="1" applyFont="1" applyFill="1" applyBorder="1" applyAlignment="1">
      <alignment horizontal="center" vertical="center"/>
      <protection/>
    </xf>
    <xf numFmtId="179" fontId="4" fillId="0" borderId="30" xfId="59" applyNumberFormat="1" applyFont="1" applyFill="1" applyBorder="1" applyAlignment="1">
      <alignment horizontal="center" vertical="center"/>
      <protection/>
    </xf>
    <xf numFmtId="0" fontId="5" fillId="0" borderId="0" xfId="59" applyFont="1" applyFill="1" applyAlignment="1">
      <alignment horizontal="center"/>
      <protection/>
    </xf>
    <xf numFmtId="178" fontId="4" fillId="0" borderId="49" xfId="59" applyNumberFormat="1" applyFont="1" applyFill="1" applyBorder="1" applyAlignment="1">
      <alignment horizontal="center"/>
      <protection/>
    </xf>
    <xf numFmtId="178" fontId="4" fillId="0" borderId="0" xfId="59" applyNumberFormat="1" applyFont="1" applyFill="1" applyBorder="1" applyAlignment="1">
      <alignment horizontal="center"/>
      <protection/>
    </xf>
    <xf numFmtId="178" fontId="4" fillId="0" borderId="34" xfId="59" applyNumberFormat="1" applyFont="1" applyFill="1" applyBorder="1" applyAlignment="1">
      <alignment horizontal="center"/>
      <protection/>
    </xf>
    <xf numFmtId="178" fontId="4" fillId="0" borderId="58" xfId="59" applyNumberFormat="1" applyFont="1" applyFill="1" applyBorder="1" applyAlignment="1">
      <alignment horizontal="center"/>
      <protection/>
    </xf>
    <xf numFmtId="178" fontId="4" fillId="0" borderId="55" xfId="59" applyNumberFormat="1" applyFont="1" applyFill="1" applyBorder="1" applyAlignment="1">
      <alignment horizontal="center"/>
      <protection/>
    </xf>
    <xf numFmtId="0" fontId="5" fillId="0" borderId="55" xfId="59" applyFont="1" applyFill="1" applyBorder="1">
      <alignment/>
      <protection/>
    </xf>
    <xf numFmtId="0" fontId="4" fillId="0" borderId="37" xfId="59" applyFont="1" applyFill="1" applyBorder="1" applyAlignment="1">
      <alignment horizontal="center" vertical="center" wrapText="1"/>
      <protection/>
    </xf>
    <xf numFmtId="4" fontId="4" fillId="0" borderId="37" xfId="59" applyNumberFormat="1" applyFont="1" applyFill="1" applyBorder="1" applyAlignment="1">
      <alignment horizontal="center" vertical="center" wrapText="1"/>
      <protection/>
    </xf>
    <xf numFmtId="4" fontId="4" fillId="0" borderId="37" xfId="59" applyNumberFormat="1" applyFont="1" applyFill="1" applyBorder="1" applyAlignment="1">
      <alignment horizontal="center" vertical="center"/>
      <protection/>
    </xf>
    <xf numFmtId="4" fontId="4" fillId="0" borderId="23" xfId="59" applyNumberFormat="1" applyFont="1" applyFill="1" applyBorder="1" applyAlignment="1">
      <alignment horizontal="center" vertical="center"/>
      <protection/>
    </xf>
    <xf numFmtId="4" fontId="5" fillId="0" borderId="0" xfId="59" applyNumberFormat="1" applyFont="1" applyFill="1" applyAlignment="1">
      <alignment horizontal="center"/>
      <protection/>
    </xf>
    <xf numFmtId="179" fontId="5" fillId="0" borderId="0" xfId="59" applyNumberFormat="1" applyFont="1" applyFill="1">
      <alignment/>
      <protection/>
    </xf>
    <xf numFmtId="0" fontId="4" fillId="0" borderId="0" xfId="59" applyFont="1" applyFill="1" applyBorder="1" applyAlignment="1">
      <alignment horizontal="center" vertical="center" wrapText="1"/>
      <protection/>
    </xf>
    <xf numFmtId="178" fontId="4" fillId="0" borderId="0" xfId="59" applyNumberFormat="1" applyFont="1" applyFill="1" applyBorder="1" applyAlignment="1">
      <alignment vertical="center" wrapText="1"/>
      <protection/>
    </xf>
    <xf numFmtId="179" fontId="4" fillId="0" borderId="0" xfId="59" applyNumberFormat="1" applyFont="1" applyFill="1" applyBorder="1" applyAlignment="1">
      <alignment vertical="center"/>
      <protection/>
    </xf>
    <xf numFmtId="0" fontId="4" fillId="0" borderId="0" xfId="59" applyFont="1" applyFill="1">
      <alignment/>
      <protection/>
    </xf>
    <xf numFmtId="4" fontId="4" fillId="0" borderId="0" xfId="59" applyNumberFormat="1" applyFont="1" applyFill="1">
      <alignment/>
      <protection/>
    </xf>
    <xf numFmtId="0" fontId="33" fillId="0" borderId="0" xfId="59" applyFont="1" applyFill="1">
      <alignment/>
      <protection/>
    </xf>
    <xf numFmtId="0" fontId="4" fillId="0" borderId="0" xfId="59" applyFont="1" applyFill="1" quotePrefix="1">
      <alignment/>
      <protection/>
    </xf>
    <xf numFmtId="4" fontId="4" fillId="0" borderId="0" xfId="59" applyNumberFormat="1" applyFont="1" applyFill="1" applyAlignment="1">
      <alignment horizontal="center"/>
      <protection/>
    </xf>
    <xf numFmtId="4" fontId="4" fillId="0" borderId="54" xfId="59" applyNumberFormat="1" applyFont="1" applyFill="1" applyBorder="1" applyAlignment="1">
      <alignment horizontal="center"/>
      <protection/>
    </xf>
    <xf numFmtId="4" fontId="82" fillId="0" borderId="0" xfId="59" applyNumberFormat="1" applyFont="1" applyFill="1">
      <alignment/>
      <protection/>
    </xf>
    <xf numFmtId="0" fontId="82" fillId="0" borderId="0" xfId="59" applyFont="1" applyFill="1">
      <alignment/>
      <protection/>
    </xf>
    <xf numFmtId="171" fontId="4" fillId="0" borderId="0" xfId="59" applyNumberFormat="1" applyFont="1" applyFill="1">
      <alignment/>
      <protection/>
    </xf>
    <xf numFmtId="0" fontId="4" fillId="0" borderId="0" xfId="59" applyFont="1" quotePrefix="1">
      <alignment/>
      <protection/>
    </xf>
    <xf numFmtId="4" fontId="5" fillId="0" borderId="58" xfId="0" applyNumberFormat="1" applyFont="1" applyFill="1" applyBorder="1" applyAlignment="1" applyProtection="1" quotePrefix="1">
      <alignment horizontal="right"/>
      <protection/>
    </xf>
    <xf numFmtId="39" fontId="0" fillId="0" borderId="0" xfId="0" applyFill="1" applyAlignment="1">
      <alignment horizontal="justify" vertical="center" wrapText="1"/>
    </xf>
    <xf numFmtId="4" fontId="4" fillId="0" borderId="36" xfId="0" applyNumberFormat="1"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80" xfId="0" applyNumberFormat="1" applyFont="1" applyFill="1" applyBorder="1" applyAlignment="1">
      <alignment horizontal="center" vertical="center"/>
    </xf>
    <xf numFmtId="4" fontId="5" fillId="0" borderId="29" xfId="0" applyNumberFormat="1" applyFont="1" applyFill="1" applyBorder="1" applyAlignment="1" applyProtection="1" quotePrefix="1">
      <alignment/>
      <protection/>
    </xf>
    <xf numFmtId="0" fontId="4" fillId="0" borderId="49" xfId="0" applyNumberFormat="1" applyFont="1" applyBorder="1" applyAlignment="1">
      <alignment horizontal="justify" vertical="top" wrapText="1"/>
    </xf>
    <xf numFmtId="39" fontId="28" fillId="0" borderId="37" xfId="0" applyFont="1" applyFill="1" applyBorder="1" applyAlignment="1">
      <alignment horizontal="center" vertical="center" wrapText="1"/>
    </xf>
    <xf numFmtId="39" fontId="28" fillId="0" borderId="36" xfId="0" applyFont="1" applyFill="1" applyBorder="1" applyAlignment="1">
      <alignment horizontal="center" vertical="center" wrapText="1"/>
    </xf>
    <xf numFmtId="0" fontId="4" fillId="0" borderId="37" xfId="0" applyNumberFormat="1" applyFont="1" applyFill="1" applyBorder="1" applyAlignment="1">
      <alignment horizontal="justify" vertical="center" wrapText="1"/>
    </xf>
    <xf numFmtId="39" fontId="4" fillId="0" borderId="37" xfId="0" applyFont="1" applyFill="1" applyBorder="1" applyAlignment="1" quotePrefix="1">
      <alignment horizontal="justify" vertical="center" wrapText="1"/>
    </xf>
    <xf numFmtId="39" fontId="4" fillId="0" borderId="0" xfId="0" applyFont="1" applyFill="1" applyBorder="1" applyAlignment="1">
      <alignment horizontal="justify" vertical="center" wrapText="1"/>
    </xf>
    <xf numFmtId="4" fontId="1" fillId="0" borderId="49" xfId="0" applyNumberFormat="1" applyFont="1" applyFill="1" applyBorder="1" applyAlignment="1">
      <alignment horizontal="center" vertical="center"/>
    </xf>
    <xf numFmtId="39" fontId="22" fillId="0" borderId="0" xfId="0" applyFont="1" applyFill="1" applyAlignment="1">
      <alignment horizontal="justify" vertical="center" wrapText="1"/>
    </xf>
    <xf numFmtId="39" fontId="29" fillId="0" borderId="0" xfId="0" applyFont="1" applyFill="1" applyAlignment="1">
      <alignment/>
    </xf>
    <xf numFmtId="39" fontId="18" fillId="0" borderId="0" xfId="0" applyFont="1" applyFill="1" applyAlignment="1">
      <alignment horizontal="justify" vertical="center" wrapText="1"/>
    </xf>
    <xf numFmtId="39" fontId="28" fillId="0" borderId="58" xfId="0" applyFont="1" applyFill="1" applyBorder="1" applyAlignment="1">
      <alignment horizontal="center" vertical="center" wrapText="1"/>
    </xf>
    <xf numFmtId="39" fontId="28" fillId="0" borderId="59" xfId="0" applyFont="1" applyFill="1" applyBorder="1" applyAlignment="1">
      <alignment horizontal="center" vertical="center" wrapText="1"/>
    </xf>
    <xf numFmtId="39" fontId="28" fillId="0" borderId="53" xfId="0" applyFont="1" applyFill="1" applyBorder="1" applyAlignment="1">
      <alignment horizontal="center" vertical="center" wrapText="1"/>
    </xf>
    <xf numFmtId="39" fontId="19" fillId="0" borderId="0" xfId="0" applyFont="1" applyFill="1" applyAlignment="1">
      <alignment/>
    </xf>
    <xf numFmtId="0" fontId="4" fillId="0" borderId="37" xfId="0" applyNumberFormat="1" applyFont="1" applyBorder="1" applyAlignment="1">
      <alignment horizontal="justify" vertical="top" wrapText="1"/>
    </xf>
    <xf numFmtId="39" fontId="29" fillId="34" borderId="58" xfId="0" applyFont="1" applyFill="1" applyBorder="1" applyAlignment="1">
      <alignment/>
    </xf>
    <xf numFmtId="39" fontId="30" fillId="34" borderId="14" xfId="0" applyFont="1" applyFill="1" applyBorder="1" applyAlignment="1">
      <alignment/>
    </xf>
    <xf numFmtId="39" fontId="30" fillId="34" borderId="59" xfId="0" applyFont="1" applyFill="1" applyBorder="1" applyAlignment="1">
      <alignment/>
    </xf>
    <xf numFmtId="39" fontId="31" fillId="34" borderId="59" xfId="0" applyFont="1" applyFill="1" applyBorder="1" applyAlignment="1">
      <alignment horizontal="center"/>
    </xf>
    <xf numFmtId="39" fontId="30" fillId="34" borderId="73" xfId="0" applyFont="1" applyFill="1" applyBorder="1" applyAlignment="1">
      <alignment/>
    </xf>
    <xf numFmtId="39" fontId="29" fillId="34" borderId="29" xfId="0" applyFont="1" applyFill="1" applyBorder="1" applyAlignment="1">
      <alignment/>
    </xf>
    <xf numFmtId="39" fontId="30" fillId="34" borderId="53" xfId="0" applyFont="1" applyFill="1" applyBorder="1" applyAlignment="1">
      <alignment/>
    </xf>
    <xf numFmtId="39" fontId="5" fillId="0" borderId="0" xfId="0" applyFont="1" applyFill="1" applyAlignment="1">
      <alignment horizontal="centerContinuous"/>
    </xf>
    <xf numFmtId="39" fontId="83" fillId="0" borderId="0" xfId="0" applyFont="1" applyFill="1" applyAlignment="1">
      <alignment horizontal="centerContinuous"/>
    </xf>
    <xf numFmtId="39" fontId="25" fillId="0" borderId="0" xfId="0" applyFont="1" applyFill="1" applyAlignment="1">
      <alignment/>
    </xf>
    <xf numFmtId="39" fontId="8" fillId="0" borderId="36" xfId="0" applyFont="1" applyFill="1" applyBorder="1" applyAlignment="1" applyProtection="1">
      <alignment horizontal="center"/>
      <protection/>
    </xf>
    <xf numFmtId="39" fontId="8" fillId="0" borderId="49" xfId="0" applyFont="1" applyFill="1" applyBorder="1" applyAlignment="1" applyProtection="1">
      <alignment horizontal="center"/>
      <protection/>
    </xf>
    <xf numFmtId="39" fontId="8" fillId="0" borderId="0" xfId="0" applyFont="1" applyFill="1" applyBorder="1" applyAlignment="1" applyProtection="1">
      <alignment horizontal="center"/>
      <protection/>
    </xf>
    <xf numFmtId="39" fontId="8" fillId="0" borderId="0" xfId="0" applyFont="1" applyFill="1" applyBorder="1" applyAlignment="1" applyProtection="1">
      <alignment/>
      <protection/>
    </xf>
    <xf numFmtId="39" fontId="38" fillId="0" borderId="0" xfId="0" applyFont="1" applyAlignment="1">
      <alignment horizontal="center" vertical="top" wrapText="1"/>
    </xf>
    <xf numFmtId="39" fontId="5" fillId="0" borderId="0" xfId="0" applyFont="1" applyBorder="1" applyAlignment="1" quotePrefix="1">
      <alignment horizontal="justify" vertical="center" wrapText="1"/>
    </xf>
    <xf numFmtId="39" fontId="38" fillId="0" borderId="0" xfId="0" applyFont="1" applyAlignment="1">
      <alignment horizontal="justify" vertical="center" wrapText="1"/>
    </xf>
    <xf numFmtId="39" fontId="8" fillId="0" borderId="67" xfId="0" applyFont="1" applyBorder="1" applyAlignment="1" applyProtection="1">
      <alignment horizontal="center" textRotation="90"/>
      <protection/>
    </xf>
    <xf numFmtId="39" fontId="0" fillId="0" borderId="17" xfId="0" applyBorder="1" applyAlignment="1">
      <alignment/>
    </xf>
    <xf numFmtId="39" fontId="8" fillId="0" borderId="16" xfId="0" applyFont="1" applyBorder="1" applyAlignment="1" applyProtection="1">
      <alignment horizontal="center" vertical="center" wrapText="1"/>
      <protection/>
    </xf>
    <xf numFmtId="39" fontId="8" fillId="0" borderId="10" xfId="0" applyFont="1" applyBorder="1" applyAlignment="1" applyProtection="1">
      <alignment horizontal="center" vertical="center" wrapText="1"/>
      <protection/>
    </xf>
    <xf numFmtId="39" fontId="8" fillId="0" borderId="53" xfId="0" applyFont="1" applyBorder="1" applyAlignment="1" applyProtection="1">
      <alignment horizontal="center" vertical="center" wrapText="1"/>
      <protection/>
    </xf>
    <xf numFmtId="39" fontId="8" fillId="0" borderId="30" xfId="0" applyFont="1" applyBorder="1" applyAlignment="1" applyProtection="1">
      <alignment horizontal="center" vertical="center" wrapText="1"/>
      <protection/>
    </xf>
    <xf numFmtId="39" fontId="8" fillId="0" borderId="80" xfId="0" applyFont="1" applyBorder="1" applyAlignment="1">
      <alignment horizontal="center" vertical="center"/>
    </xf>
    <xf numFmtId="39" fontId="8" fillId="0" borderId="59" xfId="0" applyFont="1" applyBorder="1" applyAlignment="1">
      <alignment horizontal="center" vertical="center"/>
    </xf>
    <xf numFmtId="39" fontId="8" fillId="0" borderId="58" xfId="0" applyFont="1" applyBorder="1" applyAlignment="1">
      <alignment horizontal="center" vertical="center"/>
    </xf>
    <xf numFmtId="39" fontId="8" fillId="0" borderId="54" xfId="0" applyFont="1" applyBorder="1" applyAlignment="1">
      <alignment horizontal="center" vertical="center"/>
    </xf>
    <xf numFmtId="39" fontId="38" fillId="0" borderId="0" xfId="0" applyFont="1" applyFill="1" applyAlignment="1">
      <alignment horizontal="justify" vertical="center" wrapText="1"/>
    </xf>
    <xf numFmtId="39" fontId="0" fillId="0" borderId="0" xfId="0" applyFill="1" applyAlignment="1">
      <alignment horizontal="justify" vertical="center" wrapText="1"/>
    </xf>
    <xf numFmtId="39" fontId="7" fillId="0" borderId="0" xfId="0" applyFont="1" applyAlignment="1" applyProtection="1">
      <alignment horizontal="center"/>
      <protection/>
    </xf>
    <xf numFmtId="39" fontId="7" fillId="0" borderId="0" xfId="0" applyFont="1" applyAlignment="1" applyProtection="1" quotePrefix="1">
      <alignment horizontal="center"/>
      <protection/>
    </xf>
    <xf numFmtId="39" fontId="37" fillId="0" borderId="0" xfId="0" applyFont="1" applyAlignment="1">
      <alignment horizontal="center"/>
    </xf>
    <xf numFmtId="39" fontId="5" fillId="0" borderId="0" xfId="0" applyFont="1" applyAlignment="1" applyProtection="1">
      <alignment horizontal="center"/>
      <protection/>
    </xf>
    <xf numFmtId="39" fontId="8" fillId="0" borderId="80" xfId="0" applyFont="1" applyFill="1" applyBorder="1" applyAlignment="1" applyProtection="1">
      <alignment horizontal="center"/>
      <protection/>
    </xf>
    <xf numFmtId="39" fontId="8" fillId="0" borderId="53" xfId="0" applyFont="1" applyFill="1" applyBorder="1" applyAlignment="1" applyProtection="1">
      <alignment horizontal="center"/>
      <protection/>
    </xf>
    <xf numFmtId="0" fontId="4" fillId="0" borderId="34" xfId="60" applyFont="1" applyBorder="1" applyAlignment="1">
      <alignment horizontal="justify" vertical="top" wrapText="1"/>
      <protection/>
    </xf>
    <xf numFmtId="0" fontId="4" fillId="0" borderId="34" xfId="60" applyBorder="1" applyAlignment="1">
      <alignment horizontal="justify" vertical="top" wrapText="1"/>
      <protection/>
    </xf>
    <xf numFmtId="0" fontId="7" fillId="0" borderId="0" xfId="60" applyFont="1" applyAlignment="1">
      <alignment horizontal="center"/>
      <protection/>
    </xf>
    <xf numFmtId="0" fontId="1" fillId="0" borderId="0" xfId="60" applyFont="1" applyAlignment="1">
      <alignment horizontal="center"/>
      <protection/>
    </xf>
    <xf numFmtId="49" fontId="1" fillId="0" borderId="81" xfId="60" applyNumberFormat="1" applyFont="1" applyBorder="1" applyAlignment="1">
      <alignment horizontal="center" vertical="center" wrapText="1"/>
      <protection/>
    </xf>
    <xf numFmtId="49" fontId="1" fillId="0" borderId="45" xfId="60" applyNumberFormat="1" applyFont="1" applyBorder="1" applyAlignment="1">
      <alignment horizontal="center" vertical="center" wrapText="1"/>
      <protection/>
    </xf>
    <xf numFmtId="49" fontId="4" fillId="0" borderId="34" xfId="60" applyNumberFormat="1" applyFont="1" applyBorder="1" applyAlignment="1">
      <alignment horizontal="justify" vertical="top" wrapText="1"/>
      <protection/>
    </xf>
    <xf numFmtId="39" fontId="13" fillId="0" borderId="0" xfId="0" applyFont="1" applyAlignment="1">
      <alignment horizontal="center"/>
    </xf>
    <xf numFmtId="39" fontId="0" fillId="0" borderId="0" xfId="0" applyAlignment="1">
      <alignment wrapText="1"/>
    </xf>
    <xf numFmtId="39" fontId="14" fillId="0" borderId="0" xfId="0" applyFont="1" applyAlignment="1">
      <alignment horizontal="justify"/>
    </xf>
    <xf numFmtId="39" fontId="15" fillId="0" borderId="36" xfId="0" applyFont="1" applyBorder="1" applyAlignment="1">
      <alignment horizontal="center" vertical="center"/>
    </xf>
    <xf numFmtId="39" fontId="15" fillId="0" borderId="34" xfId="0" applyFont="1" applyBorder="1" applyAlignment="1">
      <alignment horizontal="center" vertical="center"/>
    </xf>
    <xf numFmtId="0" fontId="7" fillId="0" borderId="0" xfId="58" applyFont="1" applyAlignment="1">
      <alignment horizontal="center"/>
      <protection/>
    </xf>
    <xf numFmtId="0" fontId="7" fillId="0" borderId="0" xfId="58" applyFont="1" applyAlignment="1">
      <alignment horizontal="center"/>
      <protection/>
    </xf>
    <xf numFmtId="0" fontId="7" fillId="0" borderId="0" xfId="58" applyFont="1" applyFill="1" applyAlignment="1">
      <alignment horizontal="center"/>
      <protection/>
    </xf>
    <xf numFmtId="0" fontId="7" fillId="0" borderId="0" xfId="58" applyFont="1" applyFill="1" applyAlignment="1">
      <alignment horizontal="center"/>
      <protection/>
    </xf>
    <xf numFmtId="0" fontId="8" fillId="0" borderId="0" xfId="58" applyFont="1" applyFill="1" applyAlignment="1">
      <alignment horizontal="justify" wrapText="1"/>
      <protection/>
    </xf>
    <xf numFmtId="0" fontId="4" fillId="0" borderId="0" xfId="58" applyFill="1" applyAlignment="1">
      <alignment horizontal="center"/>
      <protection/>
    </xf>
    <xf numFmtId="39" fontId="22" fillId="0" borderId="0" xfId="0" applyFont="1" applyAlignment="1">
      <alignment horizontal="justify" vertical="center" wrapText="1"/>
    </xf>
    <xf numFmtId="39" fontId="45" fillId="0" borderId="0" xfId="0" applyFont="1" applyAlignment="1">
      <alignment horizontal="justify" vertical="center" wrapText="1"/>
    </xf>
    <xf numFmtId="39" fontId="35" fillId="0" borderId="80" xfId="0" applyFont="1" applyBorder="1" applyAlignment="1">
      <alignment horizontal="justify" vertical="center" wrapText="1"/>
    </xf>
    <xf numFmtId="39" fontId="35" fillId="0" borderId="29" xfId="0" applyFont="1" applyBorder="1" applyAlignment="1">
      <alignment horizontal="justify" vertical="center" wrapText="1"/>
    </xf>
    <xf numFmtId="39" fontId="35" fillId="0" borderId="58" xfId="0" applyFont="1" applyBorder="1" applyAlignment="1">
      <alignment horizontal="justify" vertical="center" wrapText="1"/>
    </xf>
    <xf numFmtId="4" fontId="4" fillId="0" borderId="36" xfId="0" applyNumberFormat="1" applyFont="1" applyFill="1" applyBorder="1" applyAlignment="1">
      <alignment horizontal="center" vertical="center"/>
    </xf>
    <xf numFmtId="4" fontId="4" fillId="0" borderId="34" xfId="0" applyNumberFormat="1" applyFont="1" applyFill="1" applyBorder="1" applyAlignment="1">
      <alignment horizontal="center" vertical="center"/>
    </xf>
    <xf numFmtId="4" fontId="4" fillId="0" borderId="49" xfId="0" applyNumberFormat="1" applyFont="1" applyFill="1" applyBorder="1" applyAlignment="1">
      <alignment horizontal="center" vertical="center"/>
    </xf>
    <xf numFmtId="0" fontId="4" fillId="0" borderId="36" xfId="0" applyNumberFormat="1" applyFont="1" applyBorder="1" applyAlignment="1">
      <alignment horizontal="justify" vertical="center" wrapText="1"/>
    </xf>
    <xf numFmtId="0" fontId="4" fillId="0" borderId="49" xfId="0" applyNumberFormat="1" applyFont="1" applyBorder="1" applyAlignment="1">
      <alignment horizontal="justify" vertical="center" wrapText="1"/>
    </xf>
    <xf numFmtId="39" fontId="11" fillId="0" borderId="0" xfId="0" applyFont="1" applyAlignment="1">
      <alignment horizontal="justify" vertical="center" wrapText="1"/>
    </xf>
    <xf numFmtId="4" fontId="4" fillId="0" borderId="53" xfId="0" applyNumberFormat="1" applyFont="1" applyFill="1" applyBorder="1" applyAlignment="1">
      <alignment horizontal="center" vertical="center"/>
    </xf>
    <xf numFmtId="4" fontId="4" fillId="0" borderId="30" xfId="0" applyNumberFormat="1" applyFont="1" applyFill="1" applyBorder="1" applyAlignment="1">
      <alignment horizontal="center" vertical="center"/>
    </xf>
    <xf numFmtId="4" fontId="1" fillId="0" borderId="55" xfId="0" applyNumberFormat="1" applyFont="1" applyFill="1" applyBorder="1" applyAlignment="1">
      <alignment horizontal="center" vertical="center"/>
    </xf>
    <xf numFmtId="39" fontId="0" fillId="0" borderId="0" xfId="0" applyAlignment="1">
      <alignment horizontal="justify" vertical="center" wrapText="1"/>
    </xf>
    <xf numFmtId="0" fontId="4" fillId="0" borderId="34" xfId="0" applyNumberFormat="1" applyFont="1" applyBorder="1" applyAlignment="1">
      <alignment horizontal="justify" vertical="center" wrapText="1"/>
    </xf>
    <xf numFmtId="39" fontId="0" fillId="0" borderId="49" xfId="0" applyBorder="1" applyAlignment="1">
      <alignment horizontal="justify" vertical="center" wrapText="1"/>
    </xf>
    <xf numFmtId="4" fontId="4" fillId="0" borderId="80" xfId="0" applyNumberFormat="1" applyFont="1" applyFill="1" applyBorder="1" applyAlignment="1">
      <alignment horizontal="center" vertical="center"/>
    </xf>
    <xf numFmtId="4" fontId="4" fillId="0" borderId="29" xfId="0" applyNumberFormat="1" applyFont="1" applyFill="1" applyBorder="1" applyAlignment="1">
      <alignment horizontal="center" vertical="center"/>
    </xf>
    <xf numFmtId="4" fontId="4" fillId="0" borderId="58" xfId="0" applyNumberFormat="1" applyFont="1" applyFill="1" applyBorder="1" applyAlignment="1">
      <alignment horizontal="center" vertical="center"/>
    </xf>
    <xf numFmtId="0" fontId="4" fillId="0" borderId="36" xfId="0" applyNumberFormat="1" applyFont="1" applyBorder="1" applyAlignment="1">
      <alignment horizontal="justify" vertical="top" wrapText="1"/>
    </xf>
    <xf numFmtId="0" fontId="4" fillId="0" borderId="34" xfId="0" applyNumberFormat="1" applyFont="1" applyBorder="1" applyAlignment="1">
      <alignment horizontal="justify" vertical="top" wrapText="1"/>
    </xf>
    <xf numFmtId="39" fontId="0" fillId="0" borderId="49" xfId="0" applyBorder="1" applyAlignment="1">
      <alignment horizontal="justify" vertical="top" wrapText="1"/>
    </xf>
    <xf numFmtId="0" fontId="4" fillId="0" borderId="49" xfId="0" applyNumberFormat="1" applyFont="1" applyBorder="1" applyAlignment="1">
      <alignment horizontal="justify" vertical="top" wrapText="1"/>
    </xf>
    <xf numFmtId="4" fontId="4" fillId="0" borderId="55" xfId="0" applyNumberFormat="1" applyFont="1" applyFill="1" applyBorder="1" applyAlignment="1">
      <alignment horizontal="center" vertical="center"/>
    </xf>
    <xf numFmtId="4" fontId="4" fillId="0" borderId="80" xfId="59" applyNumberFormat="1" applyFont="1" applyFill="1" applyBorder="1" applyAlignment="1">
      <alignment horizontal="center" vertical="center" wrapText="1"/>
      <protection/>
    </xf>
    <xf numFmtId="4" fontId="4" fillId="0" borderId="58" xfId="59" applyNumberFormat="1" applyFont="1" applyFill="1" applyBorder="1" applyAlignment="1">
      <alignment horizontal="center" vertical="center" wrapText="1"/>
      <protection/>
    </xf>
    <xf numFmtId="0" fontId="7" fillId="0" borderId="0" xfId="59" applyFont="1" applyFill="1" applyAlignment="1">
      <alignment horizontal="center"/>
      <protection/>
    </xf>
    <xf numFmtId="39" fontId="0" fillId="0" borderId="53" xfId="0" applyFill="1" applyBorder="1" applyAlignment="1">
      <alignment horizontal="center" vertical="center" wrapText="1"/>
    </xf>
    <xf numFmtId="39" fontId="0" fillId="0" borderId="55" xfId="0" applyFill="1" applyBorder="1" applyAlignment="1">
      <alignment horizontal="center" vertical="center" wrapText="1"/>
    </xf>
    <xf numFmtId="4" fontId="4" fillId="0" borderId="23" xfId="59" applyNumberFormat="1" applyFont="1" applyFill="1" applyBorder="1" applyAlignment="1">
      <alignment horizontal="center" vertical="center"/>
      <protection/>
    </xf>
    <xf numFmtId="4" fontId="4" fillId="0" borderId="73" xfId="59" applyNumberFormat="1" applyFont="1" applyFill="1" applyBorder="1" applyAlignment="1">
      <alignment horizontal="center" vertical="center"/>
      <protection/>
    </xf>
    <xf numFmtId="4" fontId="4" fillId="0" borderId="36" xfId="59" applyNumberFormat="1" applyFont="1" applyFill="1" applyBorder="1" applyAlignment="1">
      <alignment horizontal="center" vertical="center" wrapText="1"/>
      <protection/>
    </xf>
    <xf numFmtId="4" fontId="4" fillId="0" borderId="49" xfId="59" applyNumberFormat="1" applyFont="1" applyFill="1" applyBorder="1" applyAlignment="1">
      <alignment horizontal="center" vertical="center" wrapText="1"/>
      <protection/>
    </xf>
    <xf numFmtId="0" fontId="4" fillId="0" borderId="36" xfId="59" applyFont="1" applyFill="1" applyBorder="1" applyAlignment="1">
      <alignment horizontal="center"/>
      <protection/>
    </xf>
    <xf numFmtId="0" fontId="4" fillId="0" borderId="49" xfId="59"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rmal_CONTRATOS A DIC-06" xfId="58"/>
    <cellStyle name="Normal_di 1745" xfId="59"/>
    <cellStyle name="Normal_di 1906"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5</xdr:row>
      <xdr:rowOff>0</xdr:rowOff>
    </xdr:from>
    <xdr:ext cx="85725" cy="219075"/>
    <xdr:sp fLocksText="0">
      <xdr:nvSpPr>
        <xdr:cNvPr id="1" name="Text Box 1"/>
        <xdr:cNvSpPr txBox="1">
          <a:spLocks noChangeArrowheads="1"/>
        </xdr:cNvSpPr>
      </xdr:nvSpPr>
      <xdr:spPr>
        <a:xfrm>
          <a:off x="990600" y="952500"/>
          <a:ext cx="85725" cy="219075"/>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Documentos\FINANZAS\Asiento%20Reservas%20e%20Ings.%20Difer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2026XX%20sit%20fin%20-%20DIC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stos"/>
      <sheetName val="Asiento"/>
      <sheetName val="Asiento (2)"/>
      <sheetName val="Gastos Reservas ya utilizados"/>
      <sheetName val="Acuerdos y Res."/>
    </sheetNames>
    <sheetDataSet>
      <sheetData sheetId="0">
        <row r="898">
          <cell r="AK898">
            <v>39999.999999999985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1"/>
      <sheetName val="E.2-E.3"/>
      <sheetName val="F"/>
      <sheetName val="G"/>
      <sheetName val="H"/>
      <sheetName val="I-1"/>
      <sheetName val="I-2"/>
    </sheetNames>
    <sheetDataSet>
      <sheetData sheetId="4">
        <row r="11">
          <cell r="E11">
            <v>4268.71</v>
          </cell>
        </row>
        <row r="14">
          <cell r="E14">
            <v>2235</v>
          </cell>
        </row>
        <row r="16">
          <cell r="E16">
            <v>12466.94</v>
          </cell>
        </row>
        <row r="33">
          <cell r="E33">
            <v>2612.88</v>
          </cell>
        </row>
        <row r="34">
          <cell r="E34">
            <v>198.84</v>
          </cell>
        </row>
      </sheetData>
      <sheetData sheetId="5">
        <row r="18">
          <cell r="D18">
            <v>2036.16</v>
          </cell>
        </row>
        <row r="19">
          <cell r="D19">
            <v>13573.779999999999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dimension ref="A1:P100"/>
  <sheetViews>
    <sheetView showGridLines="0" zoomScale="80" zoomScaleNormal="80" zoomScalePageLayoutView="0" workbookViewId="0" topLeftCell="A1">
      <selection activeCell="A1" sqref="A1"/>
    </sheetView>
  </sheetViews>
  <sheetFormatPr defaultColWidth="12.6640625" defaultRowHeight="15.75"/>
  <cols>
    <col min="1" max="1" width="3.88671875" style="0" bestFit="1" customWidth="1"/>
    <col min="2" max="2" width="5.4453125" style="0" customWidth="1"/>
    <col min="3" max="3" width="4.6640625" style="0" customWidth="1"/>
    <col min="4" max="4" width="43.4453125" style="0" bestFit="1" customWidth="1"/>
    <col min="5" max="5" width="12.3359375" style="0" bestFit="1" customWidth="1"/>
    <col min="6" max="6" width="11.77734375" style="318" bestFit="1" customWidth="1"/>
    <col min="7" max="7" width="3.88671875" style="318" customWidth="1"/>
    <col min="8" max="8" width="10.99609375" style="318" bestFit="1" customWidth="1"/>
    <col min="9" max="9" width="11.5546875" style="0" bestFit="1" customWidth="1"/>
    <col min="10" max="10" width="12.99609375" style="0" hidden="1" customWidth="1"/>
    <col min="11" max="11" width="11.3359375" style="0" hidden="1" customWidth="1"/>
    <col min="12" max="12" width="10.99609375" style="0" bestFit="1" customWidth="1"/>
    <col min="13" max="13" width="11.21484375" style="0" customWidth="1"/>
    <col min="14" max="14" width="11.10546875" style="0" bestFit="1" customWidth="1"/>
    <col min="15" max="15" width="9.5546875" style="0" customWidth="1"/>
    <col min="16" max="16" width="12.77734375" style="0" bestFit="1" customWidth="1"/>
  </cols>
  <sheetData>
    <row r="1" spans="1:13" ht="15.75">
      <c r="A1" s="3"/>
      <c r="B1" s="4"/>
      <c r="C1" s="4"/>
      <c r="D1" s="4"/>
      <c r="E1" s="4"/>
      <c r="F1" s="306"/>
      <c r="G1" s="306"/>
      <c r="H1" s="306"/>
      <c r="I1" s="4"/>
      <c r="J1" s="4"/>
      <c r="K1" s="4"/>
      <c r="L1" s="4"/>
      <c r="M1" s="4"/>
    </row>
    <row r="2" spans="1:15" ht="15.75">
      <c r="A2" s="473" t="s">
        <v>197</v>
      </c>
      <c r="B2" s="473"/>
      <c r="C2" s="473"/>
      <c r="D2" s="473"/>
      <c r="E2" s="473"/>
      <c r="F2" s="473"/>
      <c r="G2" s="473"/>
      <c r="H2" s="473"/>
      <c r="I2" s="473"/>
      <c r="J2" s="473"/>
      <c r="K2" s="473"/>
      <c r="L2" s="473"/>
      <c r="M2" s="473"/>
      <c r="N2" s="279"/>
      <c r="O2" s="279"/>
    </row>
    <row r="3" spans="1:15" ht="15.75">
      <c r="A3" s="474" t="s">
        <v>317</v>
      </c>
      <c r="B3" s="474"/>
      <c r="C3" s="474"/>
      <c r="D3" s="474"/>
      <c r="E3" s="474"/>
      <c r="F3" s="474"/>
      <c r="G3" s="474"/>
      <c r="H3" s="474"/>
      <c r="I3" s="474"/>
      <c r="J3" s="474"/>
      <c r="K3" s="474"/>
      <c r="L3" s="474"/>
      <c r="M3" s="474"/>
      <c r="N3" s="280"/>
      <c r="O3" s="279"/>
    </row>
    <row r="4" spans="1:13" ht="11.25" customHeight="1">
      <c r="A4" s="4"/>
      <c r="B4" s="4"/>
      <c r="C4" s="4"/>
      <c r="D4" s="4"/>
      <c r="E4" s="4"/>
      <c r="F4" s="306"/>
      <c r="G4" s="306"/>
      <c r="H4" s="306"/>
      <c r="I4" s="4"/>
      <c r="J4" s="4"/>
      <c r="K4" s="4"/>
      <c r="L4" s="4"/>
      <c r="M4" s="4"/>
    </row>
    <row r="5" spans="1:15" ht="15.75">
      <c r="A5" s="476" t="s">
        <v>36</v>
      </c>
      <c r="B5" s="476"/>
      <c r="C5" s="476"/>
      <c r="D5" s="476"/>
      <c r="E5" s="476"/>
      <c r="F5" s="476"/>
      <c r="G5" s="476"/>
      <c r="H5" s="476"/>
      <c r="I5" s="476"/>
      <c r="J5" s="476"/>
      <c r="K5" s="476"/>
      <c r="L5" s="476"/>
      <c r="M5" s="476"/>
      <c r="N5" s="5"/>
      <c r="O5" s="5"/>
    </row>
    <row r="6" spans="1:16" ht="15.75">
      <c r="A6" s="4"/>
      <c r="B6" s="5"/>
      <c r="C6" s="5"/>
      <c r="D6" s="5"/>
      <c r="E6" s="451"/>
      <c r="F6" s="452"/>
      <c r="G6" s="451"/>
      <c r="H6" s="453"/>
      <c r="I6" s="136"/>
      <c r="J6" s="136"/>
      <c r="K6" s="137"/>
      <c r="L6" s="132" t="s">
        <v>183</v>
      </c>
      <c r="M6" s="85">
        <f>+P6/100</f>
        <v>1</v>
      </c>
      <c r="P6" s="1">
        <f>100*12/12</f>
        <v>100</v>
      </c>
    </row>
    <row r="7" spans="1:15" ht="12.75" customHeight="1">
      <c r="A7" s="4"/>
      <c r="B7" s="4"/>
      <c r="C7" s="4"/>
      <c r="D7" s="4"/>
      <c r="E7" s="4"/>
      <c r="F7" s="306"/>
      <c r="G7" s="306"/>
      <c r="H7" s="306"/>
      <c r="I7" s="4"/>
      <c r="J7" s="4"/>
      <c r="K7" s="4"/>
      <c r="L7" s="4"/>
      <c r="M7" s="4"/>
      <c r="N7" s="4"/>
      <c r="O7" s="4"/>
    </row>
    <row r="8" spans="1:13" ht="15.75" customHeight="1">
      <c r="A8" s="461" t="s">
        <v>39</v>
      </c>
      <c r="B8" s="463" t="s">
        <v>111</v>
      </c>
      <c r="C8" s="20"/>
      <c r="D8" s="166"/>
      <c r="E8" s="161" t="s">
        <v>37</v>
      </c>
      <c r="F8" s="467" t="s">
        <v>42</v>
      </c>
      <c r="G8" s="468"/>
      <c r="H8" s="468"/>
      <c r="I8" s="123" t="s">
        <v>1</v>
      </c>
      <c r="J8" s="161" t="s">
        <v>173</v>
      </c>
      <c r="K8" s="123" t="s">
        <v>1</v>
      </c>
      <c r="L8" s="161" t="s">
        <v>109</v>
      </c>
      <c r="M8" s="465" t="s">
        <v>12</v>
      </c>
    </row>
    <row r="9" spans="1:13" ht="17.25" customHeight="1">
      <c r="A9" s="462"/>
      <c r="B9" s="464"/>
      <c r="C9" s="6" t="s">
        <v>40</v>
      </c>
      <c r="D9" s="164" t="s">
        <v>15</v>
      </c>
      <c r="E9" s="160" t="s">
        <v>41</v>
      </c>
      <c r="F9" s="469"/>
      <c r="G9" s="470"/>
      <c r="H9" s="470"/>
      <c r="I9" s="124" t="s">
        <v>38</v>
      </c>
      <c r="J9" s="160" t="s">
        <v>180</v>
      </c>
      <c r="K9" s="124" t="s">
        <v>144</v>
      </c>
      <c r="L9" s="160" t="s">
        <v>127</v>
      </c>
      <c r="M9" s="466"/>
    </row>
    <row r="10" spans="1:13" ht="15.75">
      <c r="A10" s="462"/>
      <c r="B10" s="464"/>
      <c r="C10" s="6"/>
      <c r="D10" s="164"/>
      <c r="E10" s="159" t="s">
        <v>316</v>
      </c>
      <c r="F10" s="454" t="s">
        <v>88</v>
      </c>
      <c r="G10" s="477" t="s">
        <v>255</v>
      </c>
      <c r="H10" s="478"/>
      <c r="I10" s="124" t="s">
        <v>41</v>
      </c>
      <c r="J10" s="160" t="s">
        <v>182</v>
      </c>
      <c r="K10" s="124" t="s">
        <v>145</v>
      </c>
      <c r="L10" s="160" t="s">
        <v>128</v>
      </c>
      <c r="M10" s="466"/>
    </row>
    <row r="11" spans="1:13" ht="15.75">
      <c r="A11" s="157"/>
      <c r="B11" s="158"/>
      <c r="C11" s="28"/>
      <c r="D11" s="167"/>
      <c r="E11" s="162"/>
      <c r="F11" s="455"/>
      <c r="G11" s="456"/>
      <c r="H11" s="457"/>
      <c r="I11" s="125"/>
      <c r="J11" s="187"/>
      <c r="K11" s="125" t="s">
        <v>146</v>
      </c>
      <c r="L11" s="165" t="s">
        <v>130</v>
      </c>
      <c r="M11" s="163"/>
    </row>
    <row r="12" spans="1:13" ht="15.75">
      <c r="A12" s="21"/>
      <c r="B12" s="7"/>
      <c r="C12" s="7"/>
      <c r="D12" s="7"/>
      <c r="E12" s="29"/>
      <c r="F12" s="307"/>
      <c r="G12" s="319"/>
      <c r="H12" s="320"/>
      <c r="I12" s="143"/>
      <c r="J12" s="29"/>
      <c r="K12" s="143"/>
      <c r="L12" s="90"/>
      <c r="M12" s="90"/>
    </row>
    <row r="13" spans="1:13" ht="15.75">
      <c r="A13" s="30">
        <v>1</v>
      </c>
      <c r="B13" s="7"/>
      <c r="C13" s="7"/>
      <c r="D13" s="12" t="s">
        <v>77</v>
      </c>
      <c r="E13" s="29"/>
      <c r="F13" s="307"/>
      <c r="G13" s="307"/>
      <c r="H13" s="321"/>
      <c r="I13" s="143"/>
      <c r="J13" s="29"/>
      <c r="K13" s="143"/>
      <c r="L13" s="90"/>
      <c r="M13" s="91"/>
    </row>
    <row r="14" spans="1:13" ht="15.75">
      <c r="A14" s="21"/>
      <c r="B14" s="7"/>
      <c r="C14" s="7"/>
      <c r="D14" s="13"/>
      <c r="E14" s="144"/>
      <c r="F14" s="307"/>
      <c r="G14" s="307"/>
      <c r="H14" s="321"/>
      <c r="I14" s="143"/>
      <c r="J14" s="29"/>
      <c r="K14" s="143"/>
      <c r="L14" s="190"/>
      <c r="M14" s="87"/>
    </row>
    <row r="15" spans="1:13" ht="15.75">
      <c r="A15" s="21"/>
      <c r="B15" s="8" t="s">
        <v>16</v>
      </c>
      <c r="C15" s="8"/>
      <c r="D15" s="9" t="s">
        <v>138</v>
      </c>
      <c r="E15" s="144">
        <v>2151828</v>
      </c>
      <c r="F15" s="308">
        <f>-H15+1728417.07</f>
        <v>1699209.36</v>
      </c>
      <c r="G15" s="308"/>
      <c r="H15" s="322">
        <f>42391.58-13183.87</f>
        <v>29207.71</v>
      </c>
      <c r="I15" s="244">
        <f aca="true" t="shared" si="0" ref="I15:I22">+E15-F15-H15</f>
        <v>423410.9299999999</v>
      </c>
      <c r="J15" s="243">
        <v>0</v>
      </c>
      <c r="K15" s="244">
        <f>+I15+J15</f>
        <v>423410.9299999999</v>
      </c>
      <c r="L15" s="245">
        <f aca="true" t="shared" si="1" ref="L15:L22">+(F15)/(E15+J15)*100</f>
        <v>78.965854148194</v>
      </c>
      <c r="M15" s="87">
        <f>$P$6-L15</f>
        <v>21.034145851806002</v>
      </c>
    </row>
    <row r="16" spans="1:13" ht="15.75">
      <c r="A16" s="21"/>
      <c r="B16" s="8" t="s">
        <v>17</v>
      </c>
      <c r="C16" s="8"/>
      <c r="D16" s="9" t="s">
        <v>6</v>
      </c>
      <c r="E16" s="144">
        <v>396851</v>
      </c>
      <c r="F16" s="308">
        <f>-H16+292554.33</f>
        <v>292554.33</v>
      </c>
      <c r="G16" s="308"/>
      <c r="H16" s="322">
        <v>0</v>
      </c>
      <c r="I16" s="244">
        <f t="shared" si="0"/>
        <v>104296.66999999998</v>
      </c>
      <c r="J16" s="243">
        <v>0</v>
      </c>
      <c r="K16" s="244">
        <f aca="true" t="shared" si="2" ref="K16:K22">+I16+J16</f>
        <v>104296.66999999998</v>
      </c>
      <c r="L16" s="245">
        <f t="shared" si="1"/>
        <v>73.71893481432579</v>
      </c>
      <c r="M16" s="87">
        <f aca="true" t="shared" si="3" ref="M16:M22">$P$6-L16</f>
        <v>26.28106518567421</v>
      </c>
    </row>
    <row r="17" spans="1:13" ht="15.75">
      <c r="A17" s="21"/>
      <c r="B17" s="8" t="s">
        <v>18</v>
      </c>
      <c r="C17" s="8"/>
      <c r="D17" s="9" t="s">
        <v>19</v>
      </c>
      <c r="E17" s="144">
        <v>538497</v>
      </c>
      <c r="F17" s="308">
        <f>-H17+400303.18</f>
        <v>378918.74</v>
      </c>
      <c r="G17" s="308"/>
      <c r="H17" s="322">
        <f>23230.18-1845.74</f>
        <v>21384.44</v>
      </c>
      <c r="I17" s="244">
        <f t="shared" si="0"/>
        <v>138193.82</v>
      </c>
      <c r="J17" s="243">
        <v>0</v>
      </c>
      <c r="K17" s="244">
        <f t="shared" si="2"/>
        <v>138193.82</v>
      </c>
      <c r="L17" s="245">
        <f t="shared" si="1"/>
        <v>70.36598903986466</v>
      </c>
      <c r="M17" s="87">
        <f t="shared" si="3"/>
        <v>29.634010960135342</v>
      </c>
    </row>
    <row r="18" spans="1:13" ht="15.75">
      <c r="A18" s="21"/>
      <c r="B18" s="8" t="s">
        <v>76</v>
      </c>
      <c r="C18" s="8"/>
      <c r="D18" s="9" t="s">
        <v>121</v>
      </c>
      <c r="E18" s="144">
        <v>8496</v>
      </c>
      <c r="F18" s="308">
        <f>-H18+8496</f>
        <v>8496</v>
      </c>
      <c r="G18" s="308"/>
      <c r="H18" s="322">
        <v>0</v>
      </c>
      <c r="I18" s="244">
        <f t="shared" si="0"/>
        <v>0</v>
      </c>
      <c r="J18" s="243">
        <v>0</v>
      </c>
      <c r="K18" s="244">
        <f t="shared" si="2"/>
        <v>0</v>
      </c>
      <c r="L18" s="245">
        <f t="shared" si="1"/>
        <v>100</v>
      </c>
      <c r="M18" s="87">
        <f t="shared" si="3"/>
        <v>0</v>
      </c>
    </row>
    <row r="19" spans="1:13" ht="15.75">
      <c r="A19" s="21"/>
      <c r="B19" s="8" t="s">
        <v>20</v>
      </c>
      <c r="C19" s="8"/>
      <c r="D19" s="9" t="s">
        <v>21</v>
      </c>
      <c r="E19" s="144">
        <v>9000</v>
      </c>
      <c r="F19" s="308">
        <f>-H19+9000</f>
        <v>8109.68</v>
      </c>
      <c r="G19" s="308"/>
      <c r="H19" s="322">
        <v>890.32</v>
      </c>
      <c r="I19" s="244">
        <f t="shared" si="0"/>
        <v>0</v>
      </c>
      <c r="J19" s="243">
        <v>0</v>
      </c>
      <c r="K19" s="244">
        <f t="shared" si="2"/>
        <v>0</v>
      </c>
      <c r="L19" s="245">
        <f t="shared" si="1"/>
        <v>90.10755555555556</v>
      </c>
      <c r="M19" s="87">
        <f t="shared" si="3"/>
        <v>9.892444444444436</v>
      </c>
    </row>
    <row r="20" spans="1:13" ht="15.75">
      <c r="A20" s="21"/>
      <c r="B20" s="8" t="s">
        <v>22</v>
      </c>
      <c r="C20" s="8"/>
      <c r="D20" s="9" t="s">
        <v>7</v>
      </c>
      <c r="E20" s="144">
        <v>179322</v>
      </c>
      <c r="F20" s="308">
        <f>-H20+143047.38</f>
        <v>142970.02000000002</v>
      </c>
      <c r="G20" s="308"/>
      <c r="H20" s="322">
        <v>77.36</v>
      </c>
      <c r="I20" s="244">
        <f t="shared" si="0"/>
        <v>36274.61999999998</v>
      </c>
      <c r="J20" s="243">
        <v>0</v>
      </c>
      <c r="K20" s="244">
        <f t="shared" si="2"/>
        <v>36274.61999999998</v>
      </c>
      <c r="L20" s="245">
        <f t="shared" si="1"/>
        <v>79.72809805824161</v>
      </c>
      <c r="M20" s="87">
        <f t="shared" si="3"/>
        <v>20.271901941758387</v>
      </c>
    </row>
    <row r="21" spans="1:13" ht="15.75">
      <c r="A21" s="21"/>
      <c r="B21" s="8" t="s">
        <v>43</v>
      </c>
      <c r="C21" s="8"/>
      <c r="D21" s="9" t="s">
        <v>112</v>
      </c>
      <c r="E21" s="144">
        <v>86266</v>
      </c>
      <c r="F21" s="308">
        <f>-H21+61734.78</f>
        <v>61734.78</v>
      </c>
      <c r="G21" s="308"/>
      <c r="H21" s="322">
        <v>0</v>
      </c>
      <c r="I21" s="244">
        <f t="shared" si="0"/>
        <v>24531.22</v>
      </c>
      <c r="J21" s="243">
        <v>0</v>
      </c>
      <c r="K21" s="244">
        <f t="shared" si="2"/>
        <v>24531.22</v>
      </c>
      <c r="L21" s="245">
        <f t="shared" si="1"/>
        <v>71.56328101453643</v>
      </c>
      <c r="M21" s="87">
        <f t="shared" si="3"/>
        <v>28.43671898546357</v>
      </c>
    </row>
    <row r="22" spans="1:13" ht="15.75">
      <c r="A22" s="21"/>
      <c r="B22" s="8" t="s">
        <v>113</v>
      </c>
      <c r="C22" s="8"/>
      <c r="D22" s="9" t="s">
        <v>123</v>
      </c>
      <c r="E22" s="144">
        <v>4681</v>
      </c>
      <c r="F22" s="308">
        <f>-H22+2568.27</f>
        <v>2549.19</v>
      </c>
      <c r="G22" s="311"/>
      <c r="H22" s="323">
        <v>19.08</v>
      </c>
      <c r="I22" s="244">
        <f t="shared" si="0"/>
        <v>2112.73</v>
      </c>
      <c r="J22" s="243">
        <v>0</v>
      </c>
      <c r="K22" s="244">
        <f t="shared" si="2"/>
        <v>2112.73</v>
      </c>
      <c r="L22" s="245">
        <f t="shared" si="1"/>
        <v>54.4582354197821</v>
      </c>
      <c r="M22" s="87">
        <f t="shared" si="3"/>
        <v>45.5417645802179</v>
      </c>
    </row>
    <row r="23" spans="1:13" ht="18" customHeight="1">
      <c r="A23" s="22"/>
      <c r="B23" s="10"/>
      <c r="C23" s="10"/>
      <c r="D23" s="11" t="s">
        <v>44</v>
      </c>
      <c r="E23" s="188">
        <f aca="true" t="shared" si="4" ref="E23:K23">SUM(E15:E22)</f>
        <v>3374941</v>
      </c>
      <c r="F23" s="354">
        <f t="shared" si="4"/>
        <v>2594542.1</v>
      </c>
      <c r="G23" s="324"/>
      <c r="H23" s="325">
        <f t="shared" si="4"/>
        <v>51578.909999999996</v>
      </c>
      <c r="I23" s="248">
        <f t="shared" si="4"/>
        <v>728819.9899999999</v>
      </c>
      <c r="J23" s="246">
        <f t="shared" si="4"/>
        <v>0</v>
      </c>
      <c r="K23" s="249">
        <f t="shared" si="4"/>
        <v>728819.9899999999</v>
      </c>
      <c r="L23" s="249">
        <f>+(F23)/(E23+J23)*100</f>
        <v>76.87666539948403</v>
      </c>
      <c r="M23" s="168">
        <f>$P$6-L23</f>
        <v>23.123334600515975</v>
      </c>
    </row>
    <row r="24" spans="1:13" ht="15.75">
      <c r="A24" s="21"/>
      <c r="B24" s="7"/>
      <c r="C24" s="7"/>
      <c r="D24" s="7"/>
      <c r="E24" s="144"/>
      <c r="F24" s="308"/>
      <c r="G24" s="308"/>
      <c r="H24" s="322"/>
      <c r="I24" s="244"/>
      <c r="J24" s="243"/>
      <c r="K24" s="244"/>
      <c r="L24" s="250"/>
      <c r="M24" s="86"/>
    </row>
    <row r="25" spans="1:13" ht="15.75">
      <c r="A25" s="30">
        <v>2</v>
      </c>
      <c r="B25" s="7"/>
      <c r="C25" s="7"/>
      <c r="D25" s="12" t="s">
        <v>78</v>
      </c>
      <c r="E25" s="144"/>
      <c r="F25" s="308"/>
      <c r="G25" s="308"/>
      <c r="H25" s="322"/>
      <c r="I25" s="244"/>
      <c r="J25" s="243"/>
      <c r="K25" s="244"/>
      <c r="L25" s="250"/>
      <c r="M25" s="86"/>
    </row>
    <row r="26" spans="1:13" ht="15.75">
      <c r="A26" s="21"/>
      <c r="B26" s="7"/>
      <c r="C26" s="7"/>
      <c r="D26" s="13"/>
      <c r="E26" s="144"/>
      <c r="F26" s="308"/>
      <c r="G26" s="308"/>
      <c r="H26" s="322"/>
      <c r="I26" s="244"/>
      <c r="J26" s="243"/>
      <c r="K26" s="244"/>
      <c r="L26" s="250"/>
      <c r="M26" s="86"/>
    </row>
    <row r="27" spans="1:13" ht="15.75">
      <c r="A27" s="21"/>
      <c r="B27" s="14" t="s">
        <v>23</v>
      </c>
      <c r="C27" s="7"/>
      <c r="D27" s="7" t="s">
        <v>80</v>
      </c>
      <c r="E27" s="144">
        <v>97031</v>
      </c>
      <c r="F27" s="308">
        <f>-H27+88203.76</f>
        <v>86758.76</v>
      </c>
      <c r="G27" s="308"/>
      <c r="H27" s="322">
        <v>1445</v>
      </c>
      <c r="I27" s="244">
        <f aca="true" t="shared" si="5" ref="I27:I33">+E27-F27-H27</f>
        <v>8827.240000000005</v>
      </c>
      <c r="J27" s="243">
        <v>0</v>
      </c>
      <c r="K27" s="244">
        <f aca="true" t="shared" si="6" ref="K27:K33">+I27+J27</f>
        <v>8827.240000000005</v>
      </c>
      <c r="L27" s="245">
        <f aca="true" t="shared" si="7" ref="L27:L34">+(F27)/(E27+J27)*100</f>
        <v>89.41344518762044</v>
      </c>
      <c r="M27" s="87">
        <f aca="true" t="shared" si="8" ref="M27:M34">$P$6-L27</f>
        <v>10.58655481237956</v>
      </c>
    </row>
    <row r="28" spans="1:13" ht="15.75">
      <c r="A28" s="21"/>
      <c r="B28" s="14" t="s">
        <v>24</v>
      </c>
      <c r="C28" s="7"/>
      <c r="D28" s="7" t="s">
        <v>25</v>
      </c>
      <c r="E28" s="144">
        <v>93600</v>
      </c>
      <c r="F28" s="308">
        <f>-H28+73367.61</f>
        <v>73367.61</v>
      </c>
      <c r="G28" s="308"/>
      <c r="H28" s="322">
        <v>0</v>
      </c>
      <c r="I28" s="244">
        <f t="shared" si="5"/>
        <v>20232.39</v>
      </c>
      <c r="J28" s="243">
        <v>0</v>
      </c>
      <c r="K28" s="244">
        <f t="shared" si="6"/>
        <v>20232.39</v>
      </c>
      <c r="L28" s="245">
        <f t="shared" si="7"/>
        <v>78.38419871794872</v>
      </c>
      <c r="M28" s="87">
        <f t="shared" si="8"/>
        <v>21.61580128205128</v>
      </c>
    </row>
    <row r="29" spans="1:13" ht="15.75">
      <c r="A29" s="21"/>
      <c r="B29" s="14" t="s">
        <v>26</v>
      </c>
      <c r="C29" s="7"/>
      <c r="D29" s="7" t="s">
        <v>122</v>
      </c>
      <c r="E29" s="144">
        <f>117815+10000</f>
        <v>127815</v>
      </c>
      <c r="F29" s="308">
        <f>-H29+126525</f>
        <v>56521.869999999995</v>
      </c>
      <c r="G29" s="308"/>
      <c r="H29" s="322">
        <v>70003.13</v>
      </c>
      <c r="I29" s="244">
        <f t="shared" si="5"/>
        <v>1290</v>
      </c>
      <c r="J29" s="243">
        <v>0</v>
      </c>
      <c r="K29" s="244">
        <f t="shared" si="6"/>
        <v>1290</v>
      </c>
      <c r="L29" s="245">
        <f t="shared" si="7"/>
        <v>44.22162500488987</v>
      </c>
      <c r="M29" s="87">
        <f>$P$6-L29</f>
        <v>55.77837499511013</v>
      </c>
    </row>
    <row r="30" spans="1:13" ht="15.75">
      <c r="A30" s="21"/>
      <c r="B30" s="14" t="s">
        <v>27</v>
      </c>
      <c r="C30" s="7"/>
      <c r="D30" s="7" t="s">
        <v>28</v>
      </c>
      <c r="E30" s="144">
        <v>204000</v>
      </c>
      <c r="F30" s="308">
        <f>-H30+204000</f>
        <v>49735.42999999999</v>
      </c>
      <c r="G30" s="308"/>
      <c r="H30" s="322">
        <v>154264.57</v>
      </c>
      <c r="I30" s="244">
        <f t="shared" si="5"/>
        <v>0</v>
      </c>
      <c r="J30" s="243">
        <v>0</v>
      </c>
      <c r="K30" s="244">
        <f t="shared" si="6"/>
        <v>0</v>
      </c>
      <c r="L30" s="245">
        <f t="shared" si="7"/>
        <v>24.38011274509804</v>
      </c>
      <c r="M30" s="87">
        <f t="shared" si="8"/>
        <v>75.61988725490195</v>
      </c>
    </row>
    <row r="31" spans="1:13" ht="15.75">
      <c r="A31" s="21"/>
      <c r="B31" s="14" t="s">
        <v>29</v>
      </c>
      <c r="C31" s="7"/>
      <c r="D31" s="7" t="s">
        <v>30</v>
      </c>
      <c r="E31" s="144">
        <v>19500</v>
      </c>
      <c r="F31" s="308">
        <f>-H31+19500</f>
        <v>12927.970000000001</v>
      </c>
      <c r="G31" s="308"/>
      <c r="H31" s="322">
        <f>6196.03+376</f>
        <v>6572.03</v>
      </c>
      <c r="I31" s="244">
        <f t="shared" si="5"/>
        <v>0</v>
      </c>
      <c r="J31" s="243">
        <v>0</v>
      </c>
      <c r="K31" s="244">
        <f t="shared" si="6"/>
        <v>0</v>
      </c>
      <c r="L31" s="245">
        <f t="shared" si="7"/>
        <v>66.29728205128205</v>
      </c>
      <c r="M31" s="87">
        <f t="shared" si="8"/>
        <v>33.70271794871795</v>
      </c>
    </row>
    <row r="32" spans="1:13" ht="15.75">
      <c r="A32" s="21"/>
      <c r="B32" s="14" t="s">
        <v>31</v>
      </c>
      <c r="C32" s="7"/>
      <c r="D32" s="7" t="s">
        <v>32</v>
      </c>
      <c r="E32" s="144">
        <v>20000</v>
      </c>
      <c r="F32" s="308">
        <f>-H32+15318.76</f>
        <v>3541.540000000001</v>
      </c>
      <c r="G32" s="308"/>
      <c r="H32" s="322">
        <v>11777.22</v>
      </c>
      <c r="I32" s="244">
        <f t="shared" si="5"/>
        <v>4681.24</v>
      </c>
      <c r="J32" s="243">
        <v>0</v>
      </c>
      <c r="K32" s="244">
        <f t="shared" si="6"/>
        <v>4681.24</v>
      </c>
      <c r="L32" s="245">
        <f t="shared" si="7"/>
        <v>17.707700000000003</v>
      </c>
      <c r="M32" s="87">
        <f>$P$6-L32</f>
        <v>82.2923</v>
      </c>
    </row>
    <row r="33" spans="1:13" ht="15.75">
      <c r="A33" s="21"/>
      <c r="B33" s="14" t="s">
        <v>82</v>
      </c>
      <c r="C33" s="7"/>
      <c r="D33" s="7" t="s">
        <v>139</v>
      </c>
      <c r="E33" s="144">
        <v>373400</v>
      </c>
      <c r="F33" s="308">
        <f>-H33+68234</f>
        <v>68234</v>
      </c>
      <c r="G33" s="311"/>
      <c r="H33" s="323">
        <v>0</v>
      </c>
      <c r="I33" s="244">
        <f t="shared" si="5"/>
        <v>305166</v>
      </c>
      <c r="J33" s="243">
        <v>0</v>
      </c>
      <c r="K33" s="244">
        <f t="shared" si="6"/>
        <v>305166</v>
      </c>
      <c r="L33" s="245">
        <f t="shared" si="7"/>
        <v>18.273701124799143</v>
      </c>
      <c r="M33" s="87">
        <f t="shared" si="8"/>
        <v>81.72629887520085</v>
      </c>
    </row>
    <row r="34" spans="1:13" ht="18" customHeight="1">
      <c r="A34" s="201"/>
      <c r="B34" s="202"/>
      <c r="C34" s="202"/>
      <c r="D34" s="203" t="s">
        <v>13</v>
      </c>
      <c r="E34" s="204">
        <f aca="true" t="shared" si="9" ref="E34:K34">SUM(E27:E33)</f>
        <v>935346</v>
      </c>
      <c r="F34" s="355">
        <f t="shared" si="9"/>
        <v>351087.18</v>
      </c>
      <c r="G34" s="324"/>
      <c r="H34" s="325">
        <f t="shared" si="9"/>
        <v>244061.95</v>
      </c>
      <c r="I34" s="251">
        <f t="shared" si="9"/>
        <v>340196.87</v>
      </c>
      <c r="J34" s="252">
        <f t="shared" si="9"/>
        <v>0</v>
      </c>
      <c r="K34" s="253">
        <f t="shared" si="9"/>
        <v>340196.87</v>
      </c>
      <c r="L34" s="253">
        <f t="shared" si="7"/>
        <v>37.535540858676896</v>
      </c>
      <c r="M34" s="205">
        <f t="shared" si="8"/>
        <v>62.464459141323104</v>
      </c>
    </row>
    <row r="35" spans="1:13" ht="15.75">
      <c r="A35" s="206"/>
      <c r="B35" s="207"/>
      <c r="C35" s="207"/>
      <c r="D35" s="207"/>
      <c r="E35" s="208"/>
      <c r="F35" s="309"/>
      <c r="G35" s="308"/>
      <c r="H35" s="322"/>
      <c r="I35" s="255"/>
      <c r="J35" s="254"/>
      <c r="K35" s="255"/>
      <c r="L35" s="256"/>
      <c r="M35" s="209"/>
    </row>
    <row r="36" spans="1:13" ht="15.75">
      <c r="A36" s="30">
        <v>3</v>
      </c>
      <c r="B36" s="7"/>
      <c r="C36" s="7"/>
      <c r="D36" s="12" t="s">
        <v>79</v>
      </c>
      <c r="E36" s="144"/>
      <c r="F36" s="308"/>
      <c r="G36" s="308"/>
      <c r="H36" s="322"/>
      <c r="I36" s="244"/>
      <c r="J36" s="243"/>
      <c r="K36" s="244"/>
      <c r="L36" s="250"/>
      <c r="M36" s="86"/>
    </row>
    <row r="37" spans="1:13" ht="15.75">
      <c r="A37" s="21"/>
      <c r="B37" s="7"/>
      <c r="C37" s="7"/>
      <c r="D37" s="13"/>
      <c r="E37" s="144"/>
      <c r="F37" s="308"/>
      <c r="G37" s="308"/>
      <c r="H37" s="322"/>
      <c r="I37" s="244"/>
      <c r="J37" s="243"/>
      <c r="K37" s="244"/>
      <c r="L37" s="250"/>
      <c r="M37" s="86"/>
    </row>
    <row r="38" spans="1:13" ht="15.75">
      <c r="A38" s="21"/>
      <c r="B38" s="14" t="s">
        <v>45</v>
      </c>
      <c r="C38" s="7"/>
      <c r="D38" s="13" t="s">
        <v>46</v>
      </c>
      <c r="E38" s="144">
        <f aca="true" t="shared" si="10" ref="E38:K38">SUM(E40:E45)</f>
        <v>165054</v>
      </c>
      <c r="F38" s="308">
        <f t="shared" si="10"/>
        <v>129263.59000000001</v>
      </c>
      <c r="G38" s="308"/>
      <c r="H38" s="322">
        <f t="shared" si="10"/>
        <v>26412.649999999998</v>
      </c>
      <c r="I38" s="244">
        <f t="shared" si="10"/>
        <v>9377.759999999998</v>
      </c>
      <c r="J38" s="243">
        <f t="shared" si="10"/>
        <v>0</v>
      </c>
      <c r="K38" s="244">
        <f t="shared" si="10"/>
        <v>9377.759999999998</v>
      </c>
      <c r="L38" s="245">
        <f>+(F38)/(E38+J38)*100</f>
        <v>78.31593902601574</v>
      </c>
      <c r="M38" s="87">
        <f aca="true" t="shared" si="11" ref="M38:M68">$P$6-L38</f>
        <v>21.68406097398426</v>
      </c>
    </row>
    <row r="39" spans="1:13" ht="15.75">
      <c r="A39" s="21"/>
      <c r="B39" s="7"/>
      <c r="C39" s="7"/>
      <c r="D39" s="7"/>
      <c r="E39" s="144"/>
      <c r="F39" s="308"/>
      <c r="G39" s="308"/>
      <c r="H39" s="322"/>
      <c r="I39" s="244"/>
      <c r="J39" s="243"/>
      <c r="K39" s="244"/>
      <c r="L39" s="245"/>
      <c r="M39" s="86"/>
    </row>
    <row r="40" spans="1:13" ht="15.75">
      <c r="A40" s="21"/>
      <c r="B40" s="7"/>
      <c r="C40" s="14" t="s">
        <v>47</v>
      </c>
      <c r="D40" s="7" t="s">
        <v>11</v>
      </c>
      <c r="E40" s="144">
        <v>13150</v>
      </c>
      <c r="F40" s="308">
        <f>-H40+12927.18</f>
        <v>12468.45</v>
      </c>
      <c r="G40" s="308"/>
      <c r="H40" s="322">
        <v>458.73</v>
      </c>
      <c r="I40" s="244">
        <f aca="true" t="shared" si="12" ref="I40:I45">+E40-F40-H40</f>
        <v>222.81999999999925</v>
      </c>
      <c r="J40" s="243">
        <v>0</v>
      </c>
      <c r="K40" s="244">
        <f aca="true" t="shared" si="13" ref="K40:K45">+I40+J40</f>
        <v>222.81999999999925</v>
      </c>
      <c r="L40" s="245">
        <f aca="true" t="shared" si="14" ref="L40:L45">+(F40)/(E40+J40)*100</f>
        <v>94.8171102661597</v>
      </c>
      <c r="M40" s="87">
        <f t="shared" si="11"/>
        <v>5.182889733840298</v>
      </c>
    </row>
    <row r="41" spans="1:13" ht="15.75">
      <c r="A41" s="21"/>
      <c r="B41" s="7"/>
      <c r="C41" s="14" t="s">
        <v>48</v>
      </c>
      <c r="D41" s="7" t="s">
        <v>83</v>
      </c>
      <c r="E41" s="144">
        <f>43500+5422</f>
        <v>48922</v>
      </c>
      <c r="F41" s="308">
        <f>-H41+48624.57</f>
        <v>39442.09</v>
      </c>
      <c r="G41" s="428" t="s">
        <v>151</v>
      </c>
      <c r="H41" s="322">
        <v>9182.48</v>
      </c>
      <c r="I41" s="244">
        <f t="shared" si="12"/>
        <v>297.43000000000393</v>
      </c>
      <c r="J41" s="243">
        <v>0</v>
      </c>
      <c r="K41" s="244">
        <f t="shared" si="13"/>
        <v>297.43000000000393</v>
      </c>
      <c r="L41" s="245">
        <f t="shared" si="14"/>
        <v>80.62239892073096</v>
      </c>
      <c r="M41" s="87">
        <f t="shared" si="11"/>
        <v>19.37760107926904</v>
      </c>
    </row>
    <row r="42" spans="1:13" ht="15.75">
      <c r="A42" s="21"/>
      <c r="B42" s="7"/>
      <c r="C42" s="14" t="s">
        <v>49</v>
      </c>
      <c r="D42" s="7" t="s">
        <v>50</v>
      </c>
      <c r="E42" s="144">
        <v>9400</v>
      </c>
      <c r="F42" s="308">
        <f>-H42+9295.21</f>
        <v>8203.22</v>
      </c>
      <c r="G42" s="308"/>
      <c r="H42" s="322">
        <v>1091.99</v>
      </c>
      <c r="I42" s="244">
        <f t="shared" si="12"/>
        <v>104.79000000000065</v>
      </c>
      <c r="J42" s="243">
        <v>0</v>
      </c>
      <c r="K42" s="244">
        <f t="shared" si="13"/>
        <v>104.79000000000065</v>
      </c>
      <c r="L42" s="245">
        <f t="shared" si="14"/>
        <v>87.26829787234041</v>
      </c>
      <c r="M42" s="87">
        <f t="shared" si="11"/>
        <v>12.731702127659588</v>
      </c>
    </row>
    <row r="43" spans="1:13" ht="15.75">
      <c r="A43" s="21"/>
      <c r="B43" s="7"/>
      <c r="C43" s="14" t="s">
        <v>51</v>
      </c>
      <c r="D43" s="7" t="s">
        <v>52</v>
      </c>
      <c r="E43" s="144">
        <v>18500</v>
      </c>
      <c r="F43" s="308">
        <f>-H43+18500</f>
        <v>5547.49</v>
      </c>
      <c r="G43" s="308"/>
      <c r="H43" s="322">
        <v>12952.51</v>
      </c>
      <c r="I43" s="244">
        <f t="shared" si="12"/>
        <v>0</v>
      </c>
      <c r="J43" s="243">
        <v>0</v>
      </c>
      <c r="K43" s="244">
        <f t="shared" si="13"/>
        <v>0</v>
      </c>
      <c r="L43" s="245">
        <f t="shared" si="14"/>
        <v>29.98643243243243</v>
      </c>
      <c r="M43" s="87">
        <f t="shared" si="11"/>
        <v>70.01356756756758</v>
      </c>
    </row>
    <row r="44" spans="1:13" ht="15.75">
      <c r="A44" s="21"/>
      <c r="B44" s="7"/>
      <c r="C44" s="14" t="s">
        <v>53</v>
      </c>
      <c r="D44" s="7" t="s">
        <v>54</v>
      </c>
      <c r="E44" s="144">
        <f>26880+31402</f>
        <v>58282</v>
      </c>
      <c r="F44" s="308">
        <f>-H44+54161.48</f>
        <v>51602.32000000001</v>
      </c>
      <c r="G44" s="308"/>
      <c r="H44" s="322">
        <v>2559.16</v>
      </c>
      <c r="I44" s="244">
        <f t="shared" si="12"/>
        <v>4120.519999999993</v>
      </c>
      <c r="J44" s="243">
        <v>0</v>
      </c>
      <c r="K44" s="244">
        <f t="shared" si="13"/>
        <v>4120.519999999993</v>
      </c>
      <c r="L44" s="245">
        <f t="shared" si="14"/>
        <v>88.5390343502282</v>
      </c>
      <c r="M44" s="87">
        <f t="shared" si="11"/>
        <v>11.460965649771794</v>
      </c>
    </row>
    <row r="45" spans="1:13" ht="15.75">
      <c r="A45" s="21"/>
      <c r="B45" s="7"/>
      <c r="C45" s="14" t="s">
        <v>114</v>
      </c>
      <c r="D45" s="7" t="s">
        <v>115</v>
      </c>
      <c r="E45" s="144">
        <v>16800</v>
      </c>
      <c r="F45" s="308">
        <f>-H45+12167.8</f>
        <v>12000.019999999999</v>
      </c>
      <c r="G45" s="308"/>
      <c r="H45" s="322">
        <v>167.78</v>
      </c>
      <c r="I45" s="244">
        <f t="shared" si="12"/>
        <v>4632.200000000002</v>
      </c>
      <c r="J45" s="243">
        <v>0</v>
      </c>
      <c r="K45" s="244">
        <f t="shared" si="13"/>
        <v>4632.200000000002</v>
      </c>
      <c r="L45" s="245">
        <f t="shared" si="14"/>
        <v>71.42869047619047</v>
      </c>
      <c r="M45" s="87">
        <f t="shared" si="11"/>
        <v>28.571309523809532</v>
      </c>
    </row>
    <row r="46" spans="1:13" ht="15.75">
      <c r="A46" s="21"/>
      <c r="B46" s="7"/>
      <c r="C46" s="7"/>
      <c r="D46" s="7"/>
      <c r="E46" s="144"/>
      <c r="F46" s="308"/>
      <c r="G46" s="308"/>
      <c r="H46" s="322"/>
      <c r="I46" s="244"/>
      <c r="J46" s="243"/>
      <c r="K46" s="244"/>
      <c r="L46" s="245"/>
      <c r="M46" s="86"/>
    </row>
    <row r="47" spans="1:13" ht="15.75">
      <c r="A47" s="21"/>
      <c r="B47" s="14" t="s">
        <v>55</v>
      </c>
      <c r="C47" s="7"/>
      <c r="D47" s="13" t="s">
        <v>84</v>
      </c>
      <c r="E47" s="144">
        <f aca="true" t="shared" si="15" ref="E47:K47">SUM(E49:E50)</f>
        <v>346130</v>
      </c>
      <c r="F47" s="308">
        <f t="shared" si="15"/>
        <v>287564.11</v>
      </c>
      <c r="G47" s="308"/>
      <c r="H47" s="322">
        <f t="shared" si="15"/>
        <v>40911.409999999996</v>
      </c>
      <c r="I47" s="244">
        <f t="shared" si="15"/>
        <v>17654.479999999992</v>
      </c>
      <c r="J47" s="243">
        <f t="shared" si="15"/>
        <v>0</v>
      </c>
      <c r="K47" s="244">
        <f t="shared" si="15"/>
        <v>17654.479999999992</v>
      </c>
      <c r="L47" s="245">
        <f>+(F47)/(E47+J47)*100</f>
        <v>83.0797994972987</v>
      </c>
      <c r="M47" s="87">
        <f t="shared" si="11"/>
        <v>16.920200502701306</v>
      </c>
    </row>
    <row r="48" spans="1:13" ht="15.75">
      <c r="A48" s="21"/>
      <c r="B48" s="14"/>
      <c r="C48" s="7"/>
      <c r="D48" s="7"/>
      <c r="E48" s="144"/>
      <c r="F48" s="308"/>
      <c r="G48" s="308"/>
      <c r="H48" s="322"/>
      <c r="I48" s="244"/>
      <c r="J48" s="243"/>
      <c r="K48" s="244"/>
      <c r="L48" s="245"/>
      <c r="M48" s="86"/>
    </row>
    <row r="49" spans="1:13" ht="15.75">
      <c r="A49" s="21"/>
      <c r="B49" s="14"/>
      <c r="C49" s="14" t="s">
        <v>56</v>
      </c>
      <c r="D49" s="7" t="s">
        <v>85</v>
      </c>
      <c r="E49" s="144">
        <v>306130</v>
      </c>
      <c r="F49" s="308">
        <f>-H49+288475.52</f>
        <v>260521.51</v>
      </c>
      <c r="G49" s="308"/>
      <c r="H49" s="322">
        <v>27954.01</v>
      </c>
      <c r="I49" s="244">
        <f>+E49-F49-H49</f>
        <v>17654.479999999992</v>
      </c>
      <c r="J49" s="243">
        <v>0</v>
      </c>
      <c r="K49" s="244">
        <f>+I49+J49</f>
        <v>17654.479999999992</v>
      </c>
      <c r="L49" s="245">
        <f>+(F49)/(E49+J49)*100</f>
        <v>85.10159409401236</v>
      </c>
      <c r="M49" s="87">
        <f t="shared" si="11"/>
        <v>14.898405905987644</v>
      </c>
    </row>
    <row r="50" spans="1:13" ht="15.75">
      <c r="A50" s="21"/>
      <c r="B50" s="14"/>
      <c r="C50" s="14" t="s">
        <v>57</v>
      </c>
      <c r="D50" s="7" t="s">
        <v>86</v>
      </c>
      <c r="E50" s="144">
        <v>40000</v>
      </c>
      <c r="F50" s="308">
        <f>-H50+40000</f>
        <v>27042.6</v>
      </c>
      <c r="G50" s="308"/>
      <c r="H50" s="322">
        <v>12957.4</v>
      </c>
      <c r="I50" s="244">
        <f>+E50-F50-H50</f>
        <v>0</v>
      </c>
      <c r="J50" s="243">
        <v>0</v>
      </c>
      <c r="K50" s="244">
        <f>+I50+J50</f>
        <v>0</v>
      </c>
      <c r="L50" s="245">
        <f>+(F50)/(E50+J50)*100</f>
        <v>67.6065</v>
      </c>
      <c r="M50" s="87">
        <f t="shared" si="11"/>
        <v>32.3935</v>
      </c>
    </row>
    <row r="51" spans="1:13" ht="15.75">
      <c r="A51" s="21"/>
      <c r="B51" s="14"/>
      <c r="C51" s="14"/>
      <c r="D51" s="7"/>
      <c r="E51" s="144"/>
      <c r="F51" s="310"/>
      <c r="G51" s="310"/>
      <c r="H51" s="326"/>
      <c r="I51" s="244"/>
      <c r="J51" s="243"/>
      <c r="K51" s="244"/>
      <c r="L51" s="245"/>
      <c r="M51" s="86"/>
    </row>
    <row r="52" spans="1:13" ht="15.75">
      <c r="A52" s="21"/>
      <c r="B52" s="14" t="s">
        <v>58</v>
      </c>
      <c r="C52" s="14"/>
      <c r="D52" s="13" t="s">
        <v>33</v>
      </c>
      <c r="E52" s="144">
        <f aca="true" t="shared" si="16" ref="E52:K52">SUM(E54:E56)</f>
        <v>133820</v>
      </c>
      <c r="F52" s="308">
        <f t="shared" si="16"/>
        <v>83199.69</v>
      </c>
      <c r="G52" s="308"/>
      <c r="H52" s="322">
        <f t="shared" si="16"/>
        <v>29144.5</v>
      </c>
      <c r="I52" s="258">
        <f t="shared" si="16"/>
        <v>21475.81</v>
      </c>
      <c r="J52" s="257">
        <f t="shared" si="16"/>
        <v>0</v>
      </c>
      <c r="K52" s="244">
        <f t="shared" si="16"/>
        <v>21475.81</v>
      </c>
      <c r="L52" s="245">
        <f>+(F52)/(E52+J52)*100</f>
        <v>62.17283664624122</v>
      </c>
      <c r="M52" s="87">
        <f t="shared" si="11"/>
        <v>37.82716335375878</v>
      </c>
    </row>
    <row r="53" spans="1:13" ht="15.75">
      <c r="A53" s="21"/>
      <c r="B53" s="14"/>
      <c r="C53" s="14"/>
      <c r="D53" s="7"/>
      <c r="E53" s="144"/>
      <c r="F53" s="308"/>
      <c r="G53" s="308"/>
      <c r="H53" s="322"/>
      <c r="I53" s="244"/>
      <c r="J53" s="243"/>
      <c r="K53" s="244"/>
      <c r="L53" s="245"/>
      <c r="M53" s="86"/>
    </row>
    <row r="54" spans="1:13" ht="15.75">
      <c r="A54" s="21"/>
      <c r="B54" s="14"/>
      <c r="C54" s="14" t="s">
        <v>59</v>
      </c>
      <c r="D54" s="7" t="s">
        <v>140</v>
      </c>
      <c r="E54" s="144">
        <v>12000</v>
      </c>
      <c r="F54" s="308">
        <f>-H54+8371.22</f>
        <v>2471.2199999999993</v>
      </c>
      <c r="G54" s="351"/>
      <c r="H54" s="322">
        <v>5900</v>
      </c>
      <c r="I54" s="244">
        <f>+E54-F54-H54</f>
        <v>3628.7800000000007</v>
      </c>
      <c r="J54" s="243">
        <v>0</v>
      </c>
      <c r="K54" s="244">
        <f>+I54+J54</f>
        <v>3628.7800000000007</v>
      </c>
      <c r="L54" s="245">
        <f>+(F54)/(E54+J54)*100</f>
        <v>20.593499999999995</v>
      </c>
      <c r="M54" s="87">
        <f t="shared" si="11"/>
        <v>79.40650000000001</v>
      </c>
    </row>
    <row r="55" spans="1:13" ht="15.75">
      <c r="A55" s="21"/>
      <c r="B55" s="14"/>
      <c r="C55" s="14" t="s">
        <v>60</v>
      </c>
      <c r="D55" s="7" t="s">
        <v>87</v>
      </c>
      <c r="E55" s="144">
        <v>58500</v>
      </c>
      <c r="F55" s="308">
        <f>-H55+57047.24</f>
        <v>48757.479999999996</v>
      </c>
      <c r="G55" s="351" t="s">
        <v>151</v>
      </c>
      <c r="H55" s="322">
        <v>8289.76</v>
      </c>
      <c r="I55" s="244">
        <f>+E55-F55-H55</f>
        <v>1452.7600000000039</v>
      </c>
      <c r="J55" s="243">
        <v>0</v>
      </c>
      <c r="K55" s="244">
        <f>+I55+J55</f>
        <v>1452.7600000000039</v>
      </c>
      <c r="L55" s="245">
        <f>+(F55)/(E55+J55)*100</f>
        <v>83.34611965811966</v>
      </c>
      <c r="M55" s="87">
        <f t="shared" si="11"/>
        <v>16.65388034188034</v>
      </c>
    </row>
    <row r="56" spans="1:13" ht="16.5" customHeight="1">
      <c r="A56" s="191"/>
      <c r="B56" s="192"/>
      <c r="C56" s="192" t="s">
        <v>61</v>
      </c>
      <c r="D56" s="19" t="s">
        <v>3</v>
      </c>
      <c r="E56" s="210">
        <v>63320</v>
      </c>
      <c r="F56" s="311">
        <f>-H56+46925.73</f>
        <v>31970.990000000005</v>
      </c>
      <c r="G56" s="423" t="s">
        <v>151</v>
      </c>
      <c r="H56" s="323">
        <v>14954.74</v>
      </c>
      <c r="I56" s="260">
        <f>+E56-F56-H56</f>
        <v>16394.269999999997</v>
      </c>
      <c r="J56" s="259">
        <v>0</v>
      </c>
      <c r="K56" s="260">
        <f>+I56+J56</f>
        <v>16394.269999999997</v>
      </c>
      <c r="L56" s="261">
        <f>+(F56)/(E56+J56)*100</f>
        <v>50.49114024005055</v>
      </c>
      <c r="M56" s="211">
        <f t="shared" si="11"/>
        <v>49.50885975994945</v>
      </c>
    </row>
    <row r="57" spans="1:13" ht="15.75">
      <c r="A57" s="206"/>
      <c r="B57" s="218"/>
      <c r="C57" s="218"/>
      <c r="D57" s="207"/>
      <c r="E57" s="208"/>
      <c r="F57" s="309"/>
      <c r="G57" s="309"/>
      <c r="H57" s="327"/>
      <c r="I57" s="263"/>
      <c r="J57" s="262"/>
      <c r="K57" s="255"/>
      <c r="L57" s="264"/>
      <c r="M57" s="209"/>
    </row>
    <row r="58" spans="1:13" ht="15.75">
      <c r="A58" s="21"/>
      <c r="B58" s="14" t="s">
        <v>62</v>
      </c>
      <c r="C58" s="14"/>
      <c r="D58" s="13" t="s">
        <v>63</v>
      </c>
      <c r="E58" s="144">
        <f aca="true" t="shared" si="17" ref="E58:K58">SUM(E60:E63)</f>
        <v>109720</v>
      </c>
      <c r="F58" s="308">
        <f t="shared" si="17"/>
        <v>71075.59999999999</v>
      </c>
      <c r="G58" s="308"/>
      <c r="H58" s="322">
        <f t="shared" si="17"/>
        <v>16009.17</v>
      </c>
      <c r="I58" s="244">
        <f t="shared" si="17"/>
        <v>22635.230000000003</v>
      </c>
      <c r="J58" s="243">
        <f t="shared" si="17"/>
        <v>0</v>
      </c>
      <c r="K58" s="244">
        <f t="shared" si="17"/>
        <v>22635.230000000003</v>
      </c>
      <c r="L58" s="245">
        <f>+(F58)/(E58+J58)*100</f>
        <v>64.77907400656215</v>
      </c>
      <c r="M58" s="87">
        <f t="shared" si="11"/>
        <v>35.220925993437845</v>
      </c>
    </row>
    <row r="59" spans="1:13" ht="15.75">
      <c r="A59" s="21"/>
      <c r="B59" s="14"/>
      <c r="C59" s="14"/>
      <c r="D59" s="7"/>
      <c r="E59" s="144"/>
      <c r="F59" s="308"/>
      <c r="G59" s="308"/>
      <c r="H59" s="322"/>
      <c r="I59" s="244"/>
      <c r="J59" s="243"/>
      <c r="K59" s="244"/>
      <c r="L59" s="245"/>
      <c r="M59" s="86"/>
    </row>
    <row r="60" spans="1:13" ht="15.75">
      <c r="A60" s="21"/>
      <c r="B60" s="14"/>
      <c r="C60" s="14" t="s">
        <v>64</v>
      </c>
      <c r="D60" s="7" t="s">
        <v>90</v>
      </c>
      <c r="E60" s="144">
        <v>79000</v>
      </c>
      <c r="F60" s="308">
        <f>-H60+60434.77</f>
        <v>55474.479999999996</v>
      </c>
      <c r="G60" s="308"/>
      <c r="H60" s="322">
        <v>4960.29</v>
      </c>
      <c r="I60" s="244">
        <f>+E60-F60-H60</f>
        <v>18565.230000000003</v>
      </c>
      <c r="J60" s="243">
        <v>0</v>
      </c>
      <c r="K60" s="244">
        <f>+I60+J60</f>
        <v>18565.230000000003</v>
      </c>
      <c r="L60" s="245">
        <f>+(F60)/(E60+J60)*100</f>
        <v>70.22086075949366</v>
      </c>
      <c r="M60" s="87">
        <f t="shared" si="11"/>
        <v>29.77913924050634</v>
      </c>
    </row>
    <row r="61" spans="1:13" ht="15.75">
      <c r="A61" s="21"/>
      <c r="B61" s="14"/>
      <c r="C61" s="14" t="s">
        <v>65</v>
      </c>
      <c r="D61" s="7" t="s">
        <v>34</v>
      </c>
      <c r="E61" s="144">
        <v>8170</v>
      </c>
      <c r="F61" s="308">
        <f>-H61+5282.22</f>
        <v>5282.22</v>
      </c>
      <c r="G61" s="308"/>
      <c r="H61" s="322">
        <v>0</v>
      </c>
      <c r="I61" s="244">
        <f>+E61-F61-H61</f>
        <v>2887.7799999999997</v>
      </c>
      <c r="J61" s="244">
        <v>0</v>
      </c>
      <c r="K61" s="244">
        <f>+I61+J61</f>
        <v>2887.7799999999997</v>
      </c>
      <c r="L61" s="245">
        <f>+(F61)/(E61+J61)*100</f>
        <v>64.65385556915545</v>
      </c>
      <c r="M61" s="87">
        <f t="shared" si="11"/>
        <v>35.34614443084455</v>
      </c>
    </row>
    <row r="62" spans="1:13" ht="15.75">
      <c r="A62" s="21"/>
      <c r="B62" s="14"/>
      <c r="C62" s="14" t="s">
        <v>66</v>
      </c>
      <c r="D62" s="7" t="s">
        <v>35</v>
      </c>
      <c r="E62" s="144">
        <v>10550</v>
      </c>
      <c r="F62" s="308">
        <f>-H62+10387.78</f>
        <v>5926.900000000001</v>
      </c>
      <c r="G62" s="308"/>
      <c r="H62" s="322">
        <v>4460.88</v>
      </c>
      <c r="I62" s="244">
        <f>+E62-F62-H62</f>
        <v>162.21999999999935</v>
      </c>
      <c r="J62" s="243">
        <v>0</v>
      </c>
      <c r="K62" s="244">
        <f>+I62+J62</f>
        <v>162.21999999999935</v>
      </c>
      <c r="L62" s="245">
        <f>+(F62)/(E62+J62)*100</f>
        <v>56.17914691943129</v>
      </c>
      <c r="M62" s="87">
        <f t="shared" si="11"/>
        <v>43.82085308056871</v>
      </c>
    </row>
    <row r="63" spans="1:13" ht="15.75">
      <c r="A63" s="191"/>
      <c r="B63" s="192"/>
      <c r="C63" s="192" t="s">
        <v>67</v>
      </c>
      <c r="D63" s="19" t="s">
        <v>68</v>
      </c>
      <c r="E63" s="210">
        <v>12000</v>
      </c>
      <c r="F63" s="311">
        <f>-H63+10980</f>
        <v>4392</v>
      </c>
      <c r="G63" s="311"/>
      <c r="H63" s="323">
        <v>6588</v>
      </c>
      <c r="I63" s="265">
        <f>+E63-F63-H63</f>
        <v>1020</v>
      </c>
      <c r="J63" s="259">
        <v>0</v>
      </c>
      <c r="K63" s="260">
        <f>+I63+J63</f>
        <v>1020</v>
      </c>
      <c r="L63" s="261">
        <f>+(F63)/(E63+J63)*100</f>
        <v>36.6</v>
      </c>
      <c r="M63" s="211">
        <f t="shared" si="11"/>
        <v>63.4</v>
      </c>
    </row>
    <row r="64" spans="1:13" ht="18" customHeight="1">
      <c r="A64" s="212"/>
      <c r="B64" s="213"/>
      <c r="C64" s="214"/>
      <c r="D64" s="215" t="s">
        <v>69</v>
      </c>
      <c r="E64" s="216">
        <f aca="true" t="shared" si="18" ref="E64:K64">SUM(E38+E47+E52+E58)</f>
        <v>754724</v>
      </c>
      <c r="F64" s="356">
        <f t="shared" si="18"/>
        <v>571102.99</v>
      </c>
      <c r="G64" s="324"/>
      <c r="H64" s="325">
        <f t="shared" si="18"/>
        <v>112477.73</v>
      </c>
      <c r="I64" s="267">
        <f t="shared" si="18"/>
        <v>71143.28</v>
      </c>
      <c r="J64" s="266">
        <f t="shared" si="18"/>
        <v>0</v>
      </c>
      <c r="K64" s="267">
        <f t="shared" si="18"/>
        <v>71143.28</v>
      </c>
      <c r="L64" s="268">
        <f>+(F64)/(E64+J64)*100</f>
        <v>75.6704424398853</v>
      </c>
      <c r="M64" s="217">
        <f t="shared" si="11"/>
        <v>24.329557560114694</v>
      </c>
    </row>
    <row r="65" spans="1:13" ht="15.75">
      <c r="A65" s="21"/>
      <c r="B65" s="7"/>
      <c r="C65" s="16"/>
      <c r="D65" s="7"/>
      <c r="E65" s="144"/>
      <c r="F65" s="308"/>
      <c r="G65" s="309"/>
      <c r="H65" s="327"/>
      <c r="I65" s="244"/>
      <c r="J65" s="243"/>
      <c r="K65" s="244"/>
      <c r="L65" s="250"/>
      <c r="M65" s="86"/>
    </row>
    <row r="66" spans="1:13" ht="15.75">
      <c r="A66" s="30">
        <v>4</v>
      </c>
      <c r="B66" s="7"/>
      <c r="C66" s="7"/>
      <c r="D66" s="12" t="s">
        <v>74</v>
      </c>
      <c r="E66" s="144">
        <v>73300</v>
      </c>
      <c r="F66" s="308">
        <f>-H66+67609</f>
        <v>67609</v>
      </c>
      <c r="G66" s="308"/>
      <c r="H66" s="322">
        <v>0</v>
      </c>
      <c r="I66" s="244">
        <f>+E66-F66-H66</f>
        <v>5691</v>
      </c>
      <c r="J66" s="243">
        <v>0</v>
      </c>
      <c r="K66" s="244">
        <f>+I66+J66</f>
        <v>5691</v>
      </c>
      <c r="L66" s="245">
        <f>+(F66)/(E66+J66)*100</f>
        <v>92.23601637107777</v>
      </c>
      <c r="M66" s="87">
        <f t="shared" si="11"/>
        <v>7.763983628922233</v>
      </c>
    </row>
    <row r="67" spans="1:13" ht="15.75">
      <c r="A67" s="21"/>
      <c r="B67" s="7"/>
      <c r="C67" s="7"/>
      <c r="D67" s="12"/>
      <c r="E67" s="144"/>
      <c r="F67" s="308"/>
      <c r="G67" s="311"/>
      <c r="H67" s="323"/>
      <c r="I67" s="244"/>
      <c r="J67" s="243"/>
      <c r="K67" s="244"/>
      <c r="L67" s="269"/>
      <c r="M67" s="86"/>
    </row>
    <row r="68" spans="1:13" ht="18" customHeight="1">
      <c r="A68" s="31"/>
      <c r="B68" s="17"/>
      <c r="C68" s="18"/>
      <c r="D68" s="15" t="s">
        <v>70</v>
      </c>
      <c r="E68" s="189">
        <f aca="true" t="shared" si="19" ref="E68:K68">+E66</f>
        <v>73300</v>
      </c>
      <c r="F68" s="357">
        <f t="shared" si="19"/>
        <v>67609</v>
      </c>
      <c r="G68" s="324"/>
      <c r="H68" s="325">
        <f t="shared" si="19"/>
        <v>0</v>
      </c>
      <c r="I68" s="249">
        <f t="shared" si="19"/>
        <v>5691</v>
      </c>
      <c r="J68" s="270">
        <f t="shared" si="19"/>
        <v>0</v>
      </c>
      <c r="K68" s="270">
        <f t="shared" si="19"/>
        <v>5691</v>
      </c>
      <c r="L68" s="249">
        <f>+(F68)/(E68+J68)*100</f>
        <v>92.23601637107777</v>
      </c>
      <c r="M68" s="168">
        <f t="shared" si="11"/>
        <v>7.763983628922233</v>
      </c>
    </row>
    <row r="69" spans="1:13" ht="18" customHeight="1">
      <c r="A69" s="21"/>
      <c r="B69" s="7"/>
      <c r="C69" s="16"/>
      <c r="D69" s="7"/>
      <c r="E69" s="144"/>
      <c r="F69" s="308"/>
      <c r="G69" s="308"/>
      <c r="H69" s="322"/>
      <c r="I69" s="244"/>
      <c r="J69" s="243"/>
      <c r="K69" s="244"/>
      <c r="L69" s="250"/>
      <c r="M69" s="86"/>
    </row>
    <row r="70" spans="1:13" ht="18" customHeight="1">
      <c r="A70" s="30">
        <v>5</v>
      </c>
      <c r="B70" s="14"/>
      <c r="C70" s="7"/>
      <c r="D70" s="12" t="s">
        <v>71</v>
      </c>
      <c r="E70" s="144">
        <v>0</v>
      </c>
      <c r="F70" s="308">
        <f>-H70+0</f>
        <v>0</v>
      </c>
      <c r="G70" s="308"/>
      <c r="H70" s="322">
        <v>0</v>
      </c>
      <c r="I70" s="244">
        <f>+E70-F70-H70</f>
        <v>0</v>
      </c>
      <c r="J70" s="243">
        <v>0</v>
      </c>
      <c r="K70" s="244">
        <f>+I70+J70</f>
        <v>0</v>
      </c>
      <c r="L70" s="245">
        <v>0</v>
      </c>
      <c r="M70" s="89">
        <v>0</v>
      </c>
    </row>
    <row r="71" spans="1:13" ht="18" customHeight="1">
      <c r="A71" s="21"/>
      <c r="B71" s="7"/>
      <c r="C71" s="19"/>
      <c r="D71" s="7"/>
      <c r="E71" s="144" t="s">
        <v>89</v>
      </c>
      <c r="F71" s="308"/>
      <c r="G71" s="311"/>
      <c r="H71" s="323"/>
      <c r="I71" s="244"/>
      <c r="J71" s="243"/>
      <c r="K71" s="244"/>
      <c r="L71" s="272"/>
      <c r="M71" s="86"/>
    </row>
    <row r="72" spans="1:13" ht="18" customHeight="1">
      <c r="A72" s="22"/>
      <c r="B72" s="10"/>
      <c r="C72" s="18"/>
      <c r="D72" s="11" t="s">
        <v>72</v>
      </c>
      <c r="E72" s="188">
        <f>SUM(E70:E71)</f>
        <v>0</v>
      </c>
      <c r="F72" s="354">
        <f>SUM(F70:F71)</f>
        <v>0</v>
      </c>
      <c r="G72" s="324"/>
      <c r="H72" s="325">
        <f>SUM(H70:H71)</f>
        <v>0</v>
      </c>
      <c r="I72" s="248">
        <f>SUM(I70)</f>
        <v>0</v>
      </c>
      <c r="J72" s="246">
        <f>SUM(J70:J71)</f>
        <v>0</v>
      </c>
      <c r="K72" s="249">
        <f>SUM(K70:K71)</f>
        <v>0</v>
      </c>
      <c r="L72" s="271">
        <v>0</v>
      </c>
      <c r="M72" s="88">
        <v>0</v>
      </c>
    </row>
    <row r="73" spans="1:13" ht="19.5" customHeight="1">
      <c r="A73" s="23"/>
      <c r="B73" s="24"/>
      <c r="C73" s="24"/>
      <c r="D73" s="25" t="s">
        <v>73</v>
      </c>
      <c r="E73" s="275">
        <f aca="true" t="shared" si="20" ref="E73:K73">SUM(E23+E34+E64+E68+E72)</f>
        <v>5138311</v>
      </c>
      <c r="F73" s="358">
        <f t="shared" si="20"/>
        <v>3584341.2700000005</v>
      </c>
      <c r="G73" s="324"/>
      <c r="H73" s="325">
        <f t="shared" si="20"/>
        <v>408118.58999999997</v>
      </c>
      <c r="I73" s="247">
        <f t="shared" si="20"/>
        <v>1145851.14</v>
      </c>
      <c r="J73" s="273">
        <f t="shared" si="20"/>
        <v>0</v>
      </c>
      <c r="K73" s="274">
        <f t="shared" si="20"/>
        <v>1145851.14</v>
      </c>
      <c r="L73" s="249">
        <f>+(F73)/(E73+J73)*100</f>
        <v>69.75718811103494</v>
      </c>
      <c r="M73" s="168">
        <f>$P$6-L73</f>
        <v>30.242811888965065</v>
      </c>
    </row>
    <row r="74" spans="1:15" ht="15" customHeight="1">
      <c r="A74" s="282"/>
      <c r="B74" s="283"/>
      <c r="C74" s="283"/>
      <c r="D74" s="283"/>
      <c r="E74" s="283"/>
      <c r="F74" s="312"/>
      <c r="G74" s="312"/>
      <c r="H74" s="312"/>
      <c r="I74" s="283"/>
      <c r="J74" s="283"/>
      <c r="K74" s="283"/>
      <c r="L74" s="283"/>
      <c r="M74" s="283"/>
      <c r="N74" s="283"/>
      <c r="O74" s="283"/>
    </row>
    <row r="75" spans="1:15" ht="39" customHeight="1">
      <c r="A75" s="459" t="s">
        <v>131</v>
      </c>
      <c r="B75" s="459"/>
      <c r="C75" s="459"/>
      <c r="D75" s="459"/>
      <c r="E75" s="459"/>
      <c r="F75" s="459"/>
      <c r="G75" s="459"/>
      <c r="H75" s="459"/>
      <c r="I75" s="459"/>
      <c r="J75" s="459"/>
      <c r="K75" s="459"/>
      <c r="L75" s="459"/>
      <c r="M75" s="459"/>
      <c r="N75" s="276"/>
      <c r="O75" s="276"/>
    </row>
    <row r="76" spans="1:16" s="26" customFormat="1" ht="9.75" customHeight="1">
      <c r="A76" s="200"/>
      <c r="B76" s="199"/>
      <c r="C76" s="199"/>
      <c r="D76" s="199"/>
      <c r="E76" s="199"/>
      <c r="F76" s="313"/>
      <c r="G76" s="313"/>
      <c r="H76" s="313"/>
      <c r="I76" s="199"/>
      <c r="J76" s="199"/>
      <c r="K76" s="199"/>
      <c r="L76" s="199"/>
      <c r="M76" s="199"/>
      <c r="N76" s="199"/>
      <c r="O76" s="199"/>
      <c r="P76" s="92"/>
    </row>
    <row r="77" spans="1:15" ht="15.75">
      <c r="A77" s="459" t="s">
        <v>303</v>
      </c>
      <c r="B77" s="459"/>
      <c r="C77" s="459"/>
      <c r="D77" s="459"/>
      <c r="E77" s="459"/>
      <c r="F77" s="459"/>
      <c r="G77" s="459"/>
      <c r="H77" s="459"/>
      <c r="I77" s="459"/>
      <c r="J77" s="459"/>
      <c r="K77" s="459"/>
      <c r="L77" s="459"/>
      <c r="M77" s="459"/>
      <c r="N77" s="276"/>
      <c r="O77" s="276"/>
    </row>
    <row r="78" spans="1:16" s="27" customFormat="1" ht="25.5">
      <c r="A78" s="475" t="s">
        <v>75</v>
      </c>
      <c r="B78" s="475"/>
      <c r="C78" s="475"/>
      <c r="D78" s="475"/>
      <c r="E78" s="475"/>
      <c r="F78" s="475"/>
      <c r="G78" s="475"/>
      <c r="H78" s="475"/>
      <c r="I78" s="475"/>
      <c r="J78" s="475"/>
      <c r="K78" s="475"/>
      <c r="L78" s="475"/>
      <c r="M78" s="475"/>
      <c r="N78" s="281"/>
      <c r="O78" s="281"/>
      <c r="P78" s="102"/>
    </row>
    <row r="79" spans="1:15" s="27" customFormat="1" ht="18.75">
      <c r="A79" s="475" t="s">
        <v>318</v>
      </c>
      <c r="B79" s="475"/>
      <c r="C79" s="475"/>
      <c r="D79" s="475"/>
      <c r="E79" s="475"/>
      <c r="F79" s="475"/>
      <c r="G79" s="475"/>
      <c r="H79" s="475"/>
      <c r="I79" s="475"/>
      <c r="J79" s="475"/>
      <c r="K79" s="475"/>
      <c r="L79" s="475"/>
      <c r="M79" s="475"/>
      <c r="N79" s="281"/>
      <c r="O79" s="281"/>
    </row>
    <row r="80" spans="1:15" s="27" customFormat="1" ht="7.5" customHeight="1">
      <c r="A80" s="238"/>
      <c r="B80" s="238"/>
      <c r="C80" s="238"/>
      <c r="D80" s="238"/>
      <c r="E80" s="239"/>
      <c r="F80" s="314"/>
      <c r="G80" s="314"/>
      <c r="H80" s="314"/>
      <c r="I80" s="239"/>
      <c r="J80" s="239"/>
      <c r="K80" s="239"/>
      <c r="L80" s="239"/>
      <c r="M80" s="239"/>
      <c r="N80" s="240"/>
      <c r="O80" s="240"/>
    </row>
    <row r="81" spans="1:15" s="27" customFormat="1" ht="124.5" customHeight="1">
      <c r="A81" s="460" t="s">
        <v>147</v>
      </c>
      <c r="B81" s="460"/>
      <c r="C81" s="460"/>
      <c r="D81" s="460"/>
      <c r="E81" s="460"/>
      <c r="F81" s="460"/>
      <c r="G81" s="460"/>
      <c r="H81" s="460"/>
      <c r="I81" s="460"/>
      <c r="J81" s="460"/>
      <c r="K81" s="460"/>
      <c r="L81" s="460"/>
      <c r="M81" s="460"/>
      <c r="N81" s="277"/>
      <c r="O81" s="277"/>
    </row>
    <row r="82" spans="1:15" s="27" customFormat="1" ht="153.75" customHeight="1">
      <c r="A82" s="460" t="s">
        <v>319</v>
      </c>
      <c r="B82" s="460"/>
      <c r="C82" s="460"/>
      <c r="D82" s="460"/>
      <c r="E82" s="460"/>
      <c r="F82" s="460"/>
      <c r="G82" s="460"/>
      <c r="H82" s="460"/>
      <c r="I82" s="460"/>
      <c r="J82" s="460"/>
      <c r="K82" s="460"/>
      <c r="L82" s="460"/>
      <c r="M82" s="460"/>
      <c r="N82" s="277"/>
      <c r="O82" s="277"/>
    </row>
    <row r="83" spans="1:15" s="27" customFormat="1" ht="111" customHeight="1">
      <c r="A83" s="471"/>
      <c r="B83" s="472"/>
      <c r="C83" s="472"/>
      <c r="D83" s="472"/>
      <c r="E83" s="472"/>
      <c r="F83" s="472"/>
      <c r="G83" s="472"/>
      <c r="H83" s="472"/>
      <c r="I83" s="472"/>
      <c r="J83" s="472"/>
      <c r="K83" s="472"/>
      <c r="L83" s="472"/>
      <c r="M83" s="472"/>
      <c r="N83" s="278"/>
      <c r="O83" s="278"/>
    </row>
    <row r="84" spans="1:15" s="27" customFormat="1" ht="53.25" customHeight="1">
      <c r="A84" s="460"/>
      <c r="B84" s="460"/>
      <c r="C84" s="460"/>
      <c r="D84" s="460"/>
      <c r="E84" s="460"/>
      <c r="F84" s="460"/>
      <c r="G84" s="460"/>
      <c r="H84" s="460"/>
      <c r="I84" s="460"/>
      <c r="J84" s="460"/>
      <c r="K84" s="460"/>
      <c r="L84" s="460"/>
      <c r="M84" s="460"/>
      <c r="N84" s="289"/>
      <c r="O84" s="289"/>
    </row>
    <row r="85" spans="1:15" s="27" customFormat="1" ht="48.75" customHeight="1">
      <c r="A85" s="238"/>
      <c r="B85" s="458"/>
      <c r="C85" s="458"/>
      <c r="D85" s="458"/>
      <c r="E85" s="458"/>
      <c r="F85" s="458"/>
      <c r="G85" s="458"/>
      <c r="H85" s="458"/>
      <c r="I85" s="458"/>
      <c r="J85" s="458"/>
      <c r="K85" s="458"/>
      <c r="L85" s="458"/>
      <c r="M85" s="458"/>
      <c r="N85" s="458"/>
      <c r="O85" s="458"/>
    </row>
    <row r="86" spans="1:15" s="27" customFormat="1" ht="81" customHeight="1">
      <c r="A86" s="238"/>
      <c r="B86" s="458"/>
      <c r="C86" s="458"/>
      <c r="D86" s="458"/>
      <c r="E86" s="458"/>
      <c r="F86" s="458"/>
      <c r="G86" s="458"/>
      <c r="H86" s="458"/>
      <c r="I86" s="458"/>
      <c r="J86" s="458"/>
      <c r="K86" s="458"/>
      <c r="L86" s="458"/>
      <c r="M86" s="458"/>
      <c r="N86" s="458"/>
      <c r="O86" s="458"/>
    </row>
    <row r="87" spans="1:15" ht="18" customHeight="1">
      <c r="A87" s="241"/>
      <c r="B87" s="241"/>
      <c r="C87" s="241"/>
      <c r="D87" s="241"/>
      <c r="E87" s="242"/>
      <c r="F87" s="315"/>
      <c r="G87" s="315"/>
      <c r="H87" s="315"/>
      <c r="I87" s="242"/>
      <c r="J87" s="242"/>
      <c r="K87" s="242"/>
      <c r="L87" s="242"/>
      <c r="M87" s="242"/>
      <c r="N87" s="241"/>
      <c r="O87" s="241"/>
    </row>
    <row r="88" spans="1:15" ht="18" customHeight="1">
      <c r="A88" s="241"/>
      <c r="B88" s="241"/>
      <c r="C88" s="241"/>
      <c r="D88" s="241"/>
      <c r="E88" s="242"/>
      <c r="F88" s="315"/>
      <c r="G88" s="315"/>
      <c r="H88" s="315"/>
      <c r="I88" s="242"/>
      <c r="J88" s="242"/>
      <c r="K88" s="242"/>
      <c r="L88" s="242"/>
      <c r="M88" s="242"/>
      <c r="N88" s="241"/>
      <c r="O88" s="241"/>
    </row>
    <row r="89" spans="1:15" ht="18" customHeight="1">
      <c r="A89" s="241"/>
      <c r="B89" s="241"/>
      <c r="C89" s="241"/>
      <c r="D89" s="241"/>
      <c r="E89" s="242"/>
      <c r="F89" s="315"/>
      <c r="G89" s="315"/>
      <c r="H89" s="315"/>
      <c r="I89" s="242"/>
      <c r="J89" s="242"/>
      <c r="K89" s="242"/>
      <c r="L89" s="242"/>
      <c r="M89" s="242"/>
      <c r="N89" s="241"/>
      <c r="O89" s="241"/>
    </row>
    <row r="90" spans="1:15" ht="19.5">
      <c r="A90" s="241"/>
      <c r="B90" s="241"/>
      <c r="C90" s="241"/>
      <c r="D90" s="241"/>
      <c r="E90" s="242"/>
      <c r="F90" s="315"/>
      <c r="G90" s="315"/>
      <c r="H90" s="315"/>
      <c r="I90" s="242"/>
      <c r="J90" s="242"/>
      <c r="K90" s="242"/>
      <c r="L90" s="242"/>
      <c r="M90" s="242"/>
      <c r="N90" s="241"/>
      <c r="O90" s="241"/>
    </row>
    <row r="91" spans="1:15" ht="19.5">
      <c r="A91" s="241"/>
      <c r="B91" s="241"/>
      <c r="C91" s="241"/>
      <c r="D91" s="241"/>
      <c r="E91" s="242"/>
      <c r="F91" s="315"/>
      <c r="G91" s="315"/>
      <c r="H91" s="315"/>
      <c r="I91" s="242"/>
      <c r="J91" s="242"/>
      <c r="K91" s="242"/>
      <c r="L91" s="242"/>
      <c r="M91" s="242"/>
      <c r="N91" s="241"/>
      <c r="O91" s="241"/>
    </row>
    <row r="92" spans="1:15" ht="19.5">
      <c r="A92" s="241"/>
      <c r="B92" s="241"/>
      <c r="C92" s="241"/>
      <c r="D92" s="241"/>
      <c r="E92" s="242"/>
      <c r="F92" s="315"/>
      <c r="G92" s="315"/>
      <c r="H92" s="315"/>
      <c r="I92" s="242"/>
      <c r="J92" s="242"/>
      <c r="K92" s="242"/>
      <c r="L92" s="242"/>
      <c r="M92" s="242"/>
      <c r="N92" s="241"/>
      <c r="O92" s="241"/>
    </row>
    <row r="93" spans="2:15" ht="19.5">
      <c r="B93" s="138"/>
      <c r="C93" s="138"/>
      <c r="D93" s="138"/>
      <c r="E93" s="139"/>
      <c r="F93" s="316"/>
      <c r="G93" s="316"/>
      <c r="H93" s="316"/>
      <c r="I93" s="139"/>
      <c r="J93" s="139"/>
      <c r="K93" s="139"/>
      <c r="L93" s="139"/>
      <c r="M93" s="139"/>
      <c r="N93" s="138"/>
      <c r="O93" s="138"/>
    </row>
    <row r="94" spans="2:15" ht="19.5">
      <c r="B94" s="138"/>
      <c r="C94" s="138"/>
      <c r="D94" s="138"/>
      <c r="E94" s="139"/>
      <c r="F94" s="316"/>
      <c r="G94" s="316"/>
      <c r="H94" s="316"/>
      <c r="I94" s="139"/>
      <c r="J94" s="139"/>
      <c r="K94" s="139"/>
      <c r="L94" s="139"/>
      <c r="M94" s="139"/>
      <c r="N94" s="138"/>
      <c r="O94" s="138"/>
    </row>
    <row r="95" spans="2:15" ht="19.5">
      <c r="B95" s="138"/>
      <c r="C95" s="138"/>
      <c r="D95" s="138"/>
      <c r="E95" s="139"/>
      <c r="F95" s="316"/>
      <c r="G95" s="316"/>
      <c r="H95" s="316"/>
      <c r="I95" s="139"/>
      <c r="J95" s="139"/>
      <c r="K95" s="139"/>
      <c r="L95" s="139"/>
      <c r="M95" s="139"/>
      <c r="N95" s="138"/>
      <c r="O95" s="138"/>
    </row>
    <row r="96" spans="2:15" ht="19.5">
      <c r="B96" s="138"/>
      <c r="C96" s="138"/>
      <c r="D96" s="138"/>
      <c r="E96" s="139"/>
      <c r="F96" s="316"/>
      <c r="G96" s="316"/>
      <c r="H96" s="316"/>
      <c r="I96" s="139"/>
      <c r="J96" s="139"/>
      <c r="K96" s="139"/>
      <c r="L96" s="139"/>
      <c r="M96" s="139"/>
      <c r="N96" s="138"/>
      <c r="O96" s="138"/>
    </row>
    <row r="97" spans="2:15" ht="19.5">
      <c r="B97" s="138"/>
      <c r="C97" s="138"/>
      <c r="D97" s="138"/>
      <c r="E97" s="139"/>
      <c r="F97" s="316"/>
      <c r="G97" s="316"/>
      <c r="H97" s="316"/>
      <c r="I97" s="139"/>
      <c r="J97" s="139"/>
      <c r="K97" s="139"/>
      <c r="L97" s="139"/>
      <c r="M97" s="139"/>
      <c r="N97" s="138"/>
      <c r="O97" s="138"/>
    </row>
    <row r="98" spans="5:13" ht="15.75">
      <c r="E98" s="2"/>
      <c r="F98" s="317"/>
      <c r="G98" s="317"/>
      <c r="H98" s="317"/>
      <c r="I98" s="2"/>
      <c r="J98" s="2"/>
      <c r="K98" s="2"/>
      <c r="L98" s="2"/>
      <c r="M98" s="2"/>
    </row>
    <row r="99" spans="5:13" ht="15.75">
      <c r="E99" s="2"/>
      <c r="F99" s="317"/>
      <c r="G99" s="317"/>
      <c r="H99" s="317"/>
      <c r="I99" s="2"/>
      <c r="J99" s="2"/>
      <c r="K99" s="2"/>
      <c r="L99" s="2"/>
      <c r="M99" s="2"/>
    </row>
    <row r="100" spans="5:13" ht="15.75">
      <c r="E100" s="2"/>
      <c r="F100" s="317"/>
      <c r="G100" s="317"/>
      <c r="H100" s="317"/>
      <c r="I100" s="2"/>
      <c r="J100" s="2"/>
      <c r="K100" s="2"/>
      <c r="L100" s="2"/>
      <c r="M100" s="2"/>
    </row>
  </sheetData>
  <sheetProtection/>
  <mergeCells count="18">
    <mergeCell ref="A83:M83"/>
    <mergeCell ref="A2:M2"/>
    <mergeCell ref="A3:M3"/>
    <mergeCell ref="A78:M78"/>
    <mergeCell ref="A79:M79"/>
    <mergeCell ref="A5:M5"/>
    <mergeCell ref="G10:H10"/>
    <mergeCell ref="A77:M77"/>
    <mergeCell ref="B86:O86"/>
    <mergeCell ref="B85:O85"/>
    <mergeCell ref="A75:M75"/>
    <mergeCell ref="A81:M81"/>
    <mergeCell ref="A82:M82"/>
    <mergeCell ref="A8:A10"/>
    <mergeCell ref="B8:B10"/>
    <mergeCell ref="M8:M10"/>
    <mergeCell ref="F8:H9"/>
    <mergeCell ref="A84:M84"/>
  </mergeCells>
  <printOptions horizontalCentered="1" verticalCentered="1"/>
  <pageMargins left="0.07874015748031496" right="0.07874015748031496" top="0.1968503937007874" bottom="0.1968503937007874" header="0.1968503937007874" footer="0.31496062992125984"/>
  <pageSetup firstPageNumber="3" useFirstPageNumber="1" horizontalDpi="600" verticalDpi="600" orientation="landscape" paperSize="9" scale="63" r:id="rId1"/>
  <headerFooter alignWithMargins="0">
    <oddFooter>&amp;C&amp;"Arial,Normal"&amp;11&amp;K000000&amp;P</oddFooter>
  </headerFooter>
  <rowBreaks count="1" manualBreakCount="1">
    <brk id="56" max="12" man="1"/>
  </rowBreaks>
</worksheet>
</file>

<file path=xl/worksheets/sheet2.xml><?xml version="1.0" encoding="utf-8"?>
<worksheet xmlns="http://schemas.openxmlformats.org/spreadsheetml/2006/main" xmlns:r="http://schemas.openxmlformats.org/officeDocument/2006/relationships">
  <dimension ref="A2:I85"/>
  <sheetViews>
    <sheetView zoomScalePageLayoutView="0" workbookViewId="0" topLeftCell="A19">
      <selection activeCell="D34" sqref="D34"/>
    </sheetView>
  </sheetViews>
  <sheetFormatPr defaultColWidth="11.5546875" defaultRowHeight="15.75"/>
  <cols>
    <col min="1" max="1" width="4.99609375" style="32" customWidth="1"/>
    <col min="2" max="2" width="16.99609375" style="32" customWidth="1"/>
    <col min="3" max="3" width="2.10546875" style="33" customWidth="1"/>
    <col min="4" max="4" width="90.99609375" style="32" customWidth="1"/>
    <col min="5" max="5" width="10.3359375" style="32" customWidth="1"/>
    <col min="6" max="6" width="9.3359375" style="32" customWidth="1"/>
    <col min="7" max="7" width="10.21484375" style="32" customWidth="1"/>
    <col min="8" max="16" width="10.4453125" style="32" customWidth="1"/>
    <col min="17" max="16384" width="11.5546875" style="32" customWidth="1"/>
  </cols>
  <sheetData>
    <row r="1" ht="5.25" customHeight="1"/>
    <row r="2" spans="1:7" ht="15">
      <c r="A2" s="481" t="s">
        <v>94</v>
      </c>
      <c r="B2" s="481"/>
      <c r="C2" s="481"/>
      <c r="D2" s="481"/>
      <c r="E2" s="481"/>
      <c r="F2" s="481"/>
      <c r="G2" s="481"/>
    </row>
    <row r="3" spans="1:7" ht="12.75">
      <c r="A3" s="482" t="s">
        <v>320</v>
      </c>
      <c r="B3" s="482"/>
      <c r="C3" s="482"/>
      <c r="D3" s="482"/>
      <c r="E3" s="482"/>
      <c r="F3" s="482"/>
      <c r="G3" s="482"/>
    </row>
    <row r="4" spans="1:7" ht="9" customHeight="1">
      <c r="A4" s="148"/>
      <c r="B4" s="148"/>
      <c r="C4" s="148"/>
      <c r="D4" s="148"/>
      <c r="E4" s="148"/>
      <c r="F4" s="148"/>
      <c r="G4" s="148"/>
    </row>
    <row r="5" spans="1:7" ht="8.25" customHeight="1" thickBot="1">
      <c r="A5" s="148"/>
      <c r="B5" s="148"/>
      <c r="C5" s="148"/>
      <c r="D5" s="148"/>
      <c r="E5" s="148"/>
      <c r="F5" s="148"/>
      <c r="G5" s="148"/>
    </row>
    <row r="6" spans="1:7" ht="60" customHeight="1" thickBot="1">
      <c r="A6" s="146" t="s">
        <v>124</v>
      </c>
      <c r="B6" s="133" t="s">
        <v>15</v>
      </c>
      <c r="C6" s="483" t="s">
        <v>93</v>
      </c>
      <c r="D6" s="484"/>
      <c r="E6" s="134" t="s">
        <v>198</v>
      </c>
      <c r="F6" s="133" t="s">
        <v>125</v>
      </c>
      <c r="G6" s="135" t="s">
        <v>321</v>
      </c>
    </row>
    <row r="7" spans="1:9" ht="6.75" customHeight="1">
      <c r="A7" s="47"/>
      <c r="B7" s="49"/>
      <c r="C7" s="50"/>
      <c r="D7" s="51"/>
      <c r="E7" s="52"/>
      <c r="F7" s="52"/>
      <c r="G7" s="43"/>
      <c r="H7" s="46"/>
      <c r="I7" s="46"/>
    </row>
    <row r="8" spans="1:7" ht="20.25" customHeight="1">
      <c r="A8" s="38" t="s">
        <v>29</v>
      </c>
      <c r="B8" s="39" t="s">
        <v>30</v>
      </c>
      <c r="C8" s="292" t="s">
        <v>223</v>
      </c>
      <c r="D8" s="149" t="s">
        <v>248</v>
      </c>
      <c r="E8" s="41"/>
      <c r="F8" s="328">
        <f>550+784.61+830.26-5.83+14.81</f>
        <v>2173.85</v>
      </c>
      <c r="G8" s="42"/>
    </row>
    <row r="9" spans="1:9" ht="20.25" customHeight="1">
      <c r="A9" s="38"/>
      <c r="B9" s="39"/>
      <c r="C9" s="292" t="s">
        <v>223</v>
      </c>
      <c r="D9" s="149" t="s">
        <v>256</v>
      </c>
      <c r="E9" s="41"/>
      <c r="F9" s="328">
        <f>125.19+415.42-29.92</f>
        <v>510.69</v>
      </c>
      <c r="G9" s="43"/>
      <c r="I9" s="48"/>
    </row>
    <row r="10" spans="1:9" ht="20.25" customHeight="1">
      <c r="A10" s="38"/>
      <c r="B10" s="39"/>
      <c r="C10" s="292" t="s">
        <v>223</v>
      </c>
      <c r="D10" s="149" t="s">
        <v>269</v>
      </c>
      <c r="E10" s="41"/>
      <c r="F10" s="328">
        <v>3307.62</v>
      </c>
      <c r="G10" s="43"/>
      <c r="I10" s="48"/>
    </row>
    <row r="11" spans="1:9" ht="20.25" customHeight="1">
      <c r="A11" s="38"/>
      <c r="B11" s="39"/>
      <c r="C11" s="292" t="s">
        <v>223</v>
      </c>
      <c r="D11" s="350" t="s">
        <v>270</v>
      </c>
      <c r="E11" s="41"/>
      <c r="F11" s="328">
        <v>457.32</v>
      </c>
      <c r="G11" s="43"/>
      <c r="I11" s="352"/>
    </row>
    <row r="12" spans="1:9" ht="20.25" customHeight="1">
      <c r="A12" s="38"/>
      <c r="B12" s="39"/>
      <c r="C12" s="292" t="s">
        <v>223</v>
      </c>
      <c r="D12" s="149" t="s">
        <v>271</v>
      </c>
      <c r="E12" s="41"/>
      <c r="F12" s="328">
        <f>116.17-0.86</f>
        <v>115.31</v>
      </c>
      <c r="G12" s="43"/>
      <c r="I12" s="353"/>
    </row>
    <row r="13" spans="1:9" ht="20.25" customHeight="1">
      <c r="A13" s="38"/>
      <c r="B13" s="39"/>
      <c r="C13" s="292" t="s">
        <v>223</v>
      </c>
      <c r="D13" s="149" t="s">
        <v>272</v>
      </c>
      <c r="E13" s="41"/>
      <c r="F13" s="328">
        <f>232.34-1.71</f>
        <v>230.63</v>
      </c>
      <c r="G13" s="43"/>
      <c r="I13" s="353"/>
    </row>
    <row r="14" spans="1:9" ht="28.5" customHeight="1">
      <c r="A14" s="38"/>
      <c r="B14" s="39"/>
      <c r="C14" s="292" t="s">
        <v>223</v>
      </c>
      <c r="D14" s="149" t="s">
        <v>273</v>
      </c>
      <c r="E14" s="41"/>
      <c r="F14" s="328">
        <f>541.78-1.03</f>
        <v>540.75</v>
      </c>
      <c r="G14" s="43"/>
      <c r="I14" s="48"/>
    </row>
    <row r="15" spans="1:9" ht="21" customHeight="1">
      <c r="A15" s="38"/>
      <c r="B15" s="39"/>
      <c r="C15" s="292" t="s">
        <v>223</v>
      </c>
      <c r="D15" s="149" t="s">
        <v>282</v>
      </c>
      <c r="E15" s="41"/>
      <c r="F15" s="328">
        <f>1752.53+217+30.8+25.29+5.75+300+28.64-31+22.31+1006.5</f>
        <v>3357.8199999999997</v>
      </c>
      <c r="G15" s="43"/>
      <c r="I15" s="46"/>
    </row>
    <row r="16" spans="1:9" ht="21" customHeight="1">
      <c r="A16" s="38"/>
      <c r="B16" s="39"/>
      <c r="C16" s="292" t="s">
        <v>223</v>
      </c>
      <c r="D16" s="149" t="s">
        <v>286</v>
      </c>
      <c r="E16" s="41"/>
      <c r="F16" s="328">
        <f>322+491.58+38.09-491.58</f>
        <v>360.09</v>
      </c>
      <c r="G16" s="43"/>
      <c r="I16" s="46"/>
    </row>
    <row r="17" spans="1:9" ht="21" customHeight="1">
      <c r="A17" s="38"/>
      <c r="B17" s="39"/>
      <c r="C17" s="292" t="s">
        <v>223</v>
      </c>
      <c r="D17" s="149" t="s">
        <v>295</v>
      </c>
      <c r="E17" s="41"/>
      <c r="F17" s="328">
        <v>372.21</v>
      </c>
      <c r="G17" s="43"/>
      <c r="I17" s="46"/>
    </row>
    <row r="18" spans="1:9" ht="21" customHeight="1">
      <c r="A18" s="38"/>
      <c r="B18" s="39"/>
      <c r="C18" s="292" t="s">
        <v>223</v>
      </c>
      <c r="D18" s="149" t="s">
        <v>305</v>
      </c>
      <c r="E18" s="41"/>
      <c r="F18" s="328">
        <f>706.88+44.63</f>
        <v>751.51</v>
      </c>
      <c r="G18" s="43"/>
      <c r="I18" s="46"/>
    </row>
    <row r="19" spans="1:9" ht="21" customHeight="1">
      <c r="A19" s="38"/>
      <c r="B19" s="39"/>
      <c r="C19" s="292" t="s">
        <v>223</v>
      </c>
      <c r="D19" s="149" t="s">
        <v>304</v>
      </c>
      <c r="E19" s="41"/>
      <c r="F19" s="328">
        <v>750.17</v>
      </c>
      <c r="G19" s="43"/>
      <c r="I19" s="46"/>
    </row>
    <row r="20" spans="1:9" ht="21" customHeight="1">
      <c r="A20" s="38"/>
      <c r="B20" s="39"/>
      <c r="C20" s="292" t="s">
        <v>223</v>
      </c>
      <c r="D20" s="149" t="s">
        <v>322</v>
      </c>
      <c r="E20" s="41"/>
      <c r="F20" s="328">
        <v>408.73</v>
      </c>
      <c r="G20" s="43"/>
      <c r="I20" s="46"/>
    </row>
    <row r="21" spans="1:9" ht="21" customHeight="1">
      <c r="A21" s="38"/>
      <c r="B21" s="39"/>
      <c r="C21" s="292" t="s">
        <v>223</v>
      </c>
      <c r="D21" s="149" t="s">
        <v>323</v>
      </c>
      <c r="E21" s="41"/>
      <c r="F21" s="328">
        <f>645.27+280.6</f>
        <v>925.87</v>
      </c>
      <c r="G21" s="43"/>
      <c r="I21" s="46"/>
    </row>
    <row r="22" spans="1:9" ht="21" customHeight="1">
      <c r="A22" s="38"/>
      <c r="B22" s="39"/>
      <c r="C22" s="292" t="s">
        <v>223</v>
      </c>
      <c r="D22" s="149" t="s">
        <v>324</v>
      </c>
      <c r="E22" s="41"/>
      <c r="F22" s="328">
        <v>1190.35</v>
      </c>
      <c r="G22" s="43"/>
      <c r="I22" s="46"/>
    </row>
    <row r="23" spans="1:9" ht="21" customHeight="1">
      <c r="A23" s="38"/>
      <c r="B23" s="39"/>
      <c r="C23" s="292" t="s">
        <v>223</v>
      </c>
      <c r="D23" s="149" t="s">
        <v>325</v>
      </c>
      <c r="E23" s="41"/>
      <c r="F23" s="328">
        <v>612.07</v>
      </c>
      <c r="G23" s="43"/>
      <c r="I23" s="46"/>
    </row>
    <row r="24" spans="1:9" ht="21" customHeight="1">
      <c r="A24" s="38"/>
      <c r="B24" s="39"/>
      <c r="C24" s="292" t="s">
        <v>223</v>
      </c>
      <c r="D24" s="149" t="s">
        <v>326</v>
      </c>
      <c r="E24" s="41"/>
      <c r="F24" s="328">
        <v>1500</v>
      </c>
      <c r="G24" s="43"/>
      <c r="I24" s="46"/>
    </row>
    <row r="25" spans="1:9" ht="30.75" customHeight="1">
      <c r="A25" s="38"/>
      <c r="B25" s="39"/>
      <c r="C25" s="292" t="s">
        <v>223</v>
      </c>
      <c r="D25" s="149" t="s">
        <v>327</v>
      </c>
      <c r="E25" s="41"/>
      <c r="F25" s="328">
        <v>1935.01</v>
      </c>
      <c r="G25" s="43"/>
      <c r="I25" s="46"/>
    </row>
    <row r="26" spans="1:7" ht="9" customHeight="1" thickBot="1">
      <c r="A26" s="38"/>
      <c r="B26" s="39"/>
      <c r="C26" s="145"/>
      <c r="D26" s="149"/>
      <c r="E26" s="41"/>
      <c r="F26" s="329"/>
      <c r="G26" s="43"/>
    </row>
    <row r="27" spans="1:8" s="116" customFormat="1" ht="13.5" thickBot="1">
      <c r="A27" s="117"/>
      <c r="B27" s="118"/>
      <c r="C27" s="111"/>
      <c r="D27" s="112"/>
      <c r="E27" s="113">
        <f>+'COMPORTA 1'!E31</f>
        <v>19500</v>
      </c>
      <c r="F27" s="330">
        <f>SUM(F8:F26)</f>
        <v>19499.999999999996</v>
      </c>
      <c r="G27" s="115">
        <f>+E27-F27</f>
        <v>0</v>
      </c>
      <c r="H27" s="173">
        <f>+G27-'COMPORTA 1'!I31</f>
        <v>0</v>
      </c>
    </row>
    <row r="28" spans="1:8" ht="6" customHeight="1">
      <c r="A28" s="34"/>
      <c r="B28" s="35"/>
      <c r="C28" s="36"/>
      <c r="D28" s="37"/>
      <c r="E28" s="44"/>
      <c r="F28" s="331"/>
      <c r="G28" s="45"/>
      <c r="H28" s="46"/>
    </row>
    <row r="29" spans="1:7" ht="21.75" customHeight="1">
      <c r="A29" s="38" t="s">
        <v>31</v>
      </c>
      <c r="B29" s="485" t="s">
        <v>110</v>
      </c>
      <c r="C29" s="292" t="s">
        <v>223</v>
      </c>
      <c r="D29" s="107" t="s">
        <v>224</v>
      </c>
      <c r="E29" s="41"/>
      <c r="F29" s="332">
        <v>293</v>
      </c>
      <c r="G29" s="42"/>
    </row>
    <row r="30" spans="1:7" ht="21.75" customHeight="1">
      <c r="A30" s="38"/>
      <c r="B30" s="485"/>
      <c r="C30" s="345" t="s">
        <v>223</v>
      </c>
      <c r="D30" s="149" t="s">
        <v>247</v>
      </c>
      <c r="E30" s="41"/>
      <c r="F30" s="332">
        <v>600</v>
      </c>
      <c r="G30" s="43"/>
    </row>
    <row r="31" spans="1:7" ht="31.5" customHeight="1">
      <c r="A31" s="38"/>
      <c r="B31" s="305"/>
      <c r="C31" s="345" t="s">
        <v>223</v>
      </c>
      <c r="D31" s="149" t="s">
        <v>257</v>
      </c>
      <c r="E31" s="41"/>
      <c r="F31" s="332">
        <v>38.56</v>
      </c>
      <c r="G31" s="43"/>
    </row>
    <row r="32" spans="1:7" ht="21" customHeight="1">
      <c r="A32" s="38"/>
      <c r="B32" s="305"/>
      <c r="C32" s="345" t="s">
        <v>223</v>
      </c>
      <c r="D32" s="149" t="s">
        <v>258</v>
      </c>
      <c r="E32" s="41"/>
      <c r="F32" s="332">
        <v>751.13</v>
      </c>
      <c r="G32" s="43"/>
    </row>
    <row r="33" spans="1:7" ht="31.5" customHeight="1">
      <c r="A33" s="38"/>
      <c r="B33" s="305"/>
      <c r="C33" s="345" t="s">
        <v>223</v>
      </c>
      <c r="D33" s="149" t="s">
        <v>280</v>
      </c>
      <c r="E33" s="41"/>
      <c r="F33" s="332">
        <v>184.5</v>
      </c>
      <c r="G33" s="43"/>
    </row>
    <row r="34" spans="1:7" ht="33" customHeight="1">
      <c r="A34" s="38"/>
      <c r="B34" s="305"/>
      <c r="C34" s="345" t="s">
        <v>223</v>
      </c>
      <c r="D34" s="149" t="s">
        <v>281</v>
      </c>
      <c r="E34" s="41"/>
      <c r="F34" s="332">
        <v>436.8</v>
      </c>
      <c r="G34" s="43"/>
    </row>
    <row r="35" spans="1:7" ht="21" customHeight="1">
      <c r="A35" s="38"/>
      <c r="B35" s="305"/>
      <c r="C35" s="345" t="s">
        <v>223</v>
      </c>
      <c r="D35" s="149" t="s">
        <v>288</v>
      </c>
      <c r="E35" s="41"/>
      <c r="F35" s="332">
        <v>268.73</v>
      </c>
      <c r="G35" s="43"/>
    </row>
    <row r="36" spans="1:7" ht="21" customHeight="1">
      <c r="A36" s="38"/>
      <c r="B36" s="305"/>
      <c r="C36" s="345" t="s">
        <v>223</v>
      </c>
      <c r="D36" s="149" t="s">
        <v>287</v>
      </c>
      <c r="E36" s="41"/>
      <c r="F36" s="332">
        <v>93.08</v>
      </c>
      <c r="G36" s="43"/>
    </row>
    <row r="37" spans="1:7" ht="21" customHeight="1">
      <c r="A37" s="38"/>
      <c r="B37" s="305"/>
      <c r="C37" s="345" t="s">
        <v>223</v>
      </c>
      <c r="D37" s="149" t="s">
        <v>296</v>
      </c>
      <c r="E37" s="41"/>
      <c r="F37" s="332">
        <v>170.32</v>
      </c>
      <c r="G37" s="43"/>
    </row>
    <row r="38" spans="1:7" ht="21" customHeight="1">
      <c r="A38" s="38"/>
      <c r="B38" s="305"/>
      <c r="C38" s="345" t="s">
        <v>223</v>
      </c>
      <c r="D38" s="149" t="s">
        <v>297</v>
      </c>
      <c r="E38" s="41"/>
      <c r="F38" s="332">
        <v>441.46</v>
      </c>
      <c r="G38" s="43"/>
    </row>
    <row r="39" spans="1:7" ht="21" customHeight="1">
      <c r="A39" s="38"/>
      <c r="B39" s="305"/>
      <c r="C39" s="345" t="s">
        <v>223</v>
      </c>
      <c r="D39" s="149" t="s">
        <v>306</v>
      </c>
      <c r="E39" s="41"/>
      <c r="F39" s="332">
        <v>1830</v>
      </c>
      <c r="G39" s="43"/>
    </row>
    <row r="40" spans="1:7" ht="21" customHeight="1">
      <c r="A40" s="38"/>
      <c r="B40" s="305"/>
      <c r="C40" s="345" t="s">
        <v>223</v>
      </c>
      <c r="D40" s="149" t="s">
        <v>307</v>
      </c>
      <c r="E40" s="41"/>
      <c r="F40" s="332">
        <v>128.93</v>
      </c>
      <c r="G40" s="43"/>
    </row>
    <row r="41" spans="1:7" ht="21" customHeight="1">
      <c r="A41" s="38"/>
      <c r="B41" s="305"/>
      <c r="C41" s="345" t="s">
        <v>223</v>
      </c>
      <c r="D41" s="149" t="s">
        <v>308</v>
      </c>
      <c r="E41" s="41"/>
      <c r="F41" s="332">
        <v>1350.25</v>
      </c>
      <c r="G41" s="43"/>
    </row>
    <row r="42" spans="1:7" ht="21" customHeight="1">
      <c r="A42" s="38"/>
      <c r="B42" s="305"/>
      <c r="C42" s="345" t="s">
        <v>223</v>
      </c>
      <c r="D42" s="149" t="s">
        <v>328</v>
      </c>
      <c r="E42" s="41"/>
      <c r="F42" s="332">
        <v>732</v>
      </c>
      <c r="G42" s="43"/>
    </row>
    <row r="43" spans="1:7" ht="21" customHeight="1">
      <c r="A43" s="38"/>
      <c r="B43" s="305"/>
      <c r="C43" s="345" t="s">
        <v>223</v>
      </c>
      <c r="D43" s="149" t="s">
        <v>329</v>
      </c>
      <c r="E43" s="41"/>
      <c r="F43" s="332">
        <v>8000</v>
      </c>
      <c r="G43" s="43"/>
    </row>
    <row r="44" spans="1:7" ht="7.5" customHeight="1" thickBot="1">
      <c r="A44" s="47"/>
      <c r="B44" s="48"/>
      <c r="C44" s="227"/>
      <c r="D44" s="149"/>
      <c r="E44" s="52"/>
      <c r="F44" s="333"/>
      <c r="G44" s="43"/>
    </row>
    <row r="45" spans="1:9" s="116" customFormat="1" ht="16.5" customHeight="1" thickBot="1">
      <c r="A45" s="117"/>
      <c r="B45" s="118"/>
      <c r="C45" s="219"/>
      <c r="D45" s="112"/>
      <c r="E45" s="113">
        <f>+'COMPORTA 1'!E32</f>
        <v>20000</v>
      </c>
      <c r="F45" s="334">
        <f>SUM(F29:F44)</f>
        <v>15318.76</v>
      </c>
      <c r="G45" s="115">
        <f>+E45-F45</f>
        <v>4681.24</v>
      </c>
      <c r="H45" s="173">
        <f>+G45-'COMPORTA 1'!I32</f>
        <v>0</v>
      </c>
      <c r="I45" s="119"/>
    </row>
    <row r="46" spans="1:9" ht="6.75" customHeight="1">
      <c r="A46" s="47"/>
      <c r="B46" s="49"/>
      <c r="C46" s="50"/>
      <c r="D46" s="51"/>
      <c r="E46" s="52"/>
      <c r="F46" s="335"/>
      <c r="G46" s="43"/>
      <c r="H46" s="46"/>
      <c r="I46" s="46"/>
    </row>
    <row r="47" spans="1:7" ht="19.5" customHeight="1">
      <c r="A47" s="53">
        <v>4</v>
      </c>
      <c r="B47" s="479" t="s">
        <v>4</v>
      </c>
      <c r="C47" s="292" t="s">
        <v>223</v>
      </c>
      <c r="D47" s="149" t="s">
        <v>225</v>
      </c>
      <c r="E47" s="41"/>
      <c r="F47" s="336">
        <f>930+12960-930</f>
        <v>12960</v>
      </c>
      <c r="G47" s="42"/>
    </row>
    <row r="48" spans="1:7" ht="19.5" customHeight="1">
      <c r="A48" s="53"/>
      <c r="B48" s="480"/>
      <c r="C48" s="292" t="s">
        <v>223</v>
      </c>
      <c r="D48" s="149" t="s">
        <v>226</v>
      </c>
      <c r="E48" s="41"/>
      <c r="F48" s="336">
        <v>21519</v>
      </c>
      <c r="G48" s="42"/>
    </row>
    <row r="49" spans="1:7" ht="19.5" customHeight="1">
      <c r="A49" s="53"/>
      <c r="B49" s="140"/>
      <c r="C49" s="292" t="s">
        <v>223</v>
      </c>
      <c r="D49" s="149" t="s">
        <v>249</v>
      </c>
      <c r="E49" s="41"/>
      <c r="F49" s="337">
        <f>13650+2280</f>
        <v>15930</v>
      </c>
      <c r="G49" s="43"/>
    </row>
    <row r="50" spans="1:7" ht="19.5" customHeight="1">
      <c r="A50" s="53"/>
      <c r="B50" s="140"/>
      <c r="C50" s="292" t="s">
        <v>223</v>
      </c>
      <c r="D50" s="149" t="s">
        <v>249</v>
      </c>
      <c r="E50" s="41"/>
      <c r="F50" s="346">
        <f>1250+15950</f>
        <v>17200</v>
      </c>
      <c r="G50" s="43"/>
    </row>
    <row r="51" spans="1:7" ht="7.5" customHeight="1" thickBot="1">
      <c r="A51" s="53"/>
      <c r="B51" s="140"/>
      <c r="C51" s="40"/>
      <c r="D51" s="107"/>
      <c r="E51" s="104"/>
      <c r="F51" s="108"/>
      <c r="G51" s="43"/>
    </row>
    <row r="52" spans="1:8" s="116" customFormat="1" ht="13.5" thickBot="1">
      <c r="A52" s="109"/>
      <c r="B52" s="110"/>
      <c r="C52" s="111"/>
      <c r="D52" s="112"/>
      <c r="E52" s="113">
        <f>+'COMPORTA 1'!E66</f>
        <v>73300</v>
      </c>
      <c r="F52" s="114">
        <f>SUM(F47:F51)</f>
        <v>67609</v>
      </c>
      <c r="G52" s="115">
        <f>+E52-F52</f>
        <v>5691</v>
      </c>
      <c r="H52" s="173">
        <f>+G52-'COMPORTA 1'!I66</f>
        <v>0</v>
      </c>
    </row>
    <row r="53" spans="5:7" ht="12.75">
      <c r="E53" s="46"/>
      <c r="F53" s="46"/>
      <c r="G53" s="46"/>
    </row>
    <row r="54" spans="5:7" ht="12.75">
      <c r="E54" s="46"/>
      <c r="F54" s="46"/>
      <c r="G54" s="46"/>
    </row>
    <row r="55" spans="5:7" ht="12.75">
      <c r="E55" s="46"/>
      <c r="F55" s="46"/>
      <c r="G55" s="46"/>
    </row>
    <row r="56" spans="5:7" ht="12.75">
      <c r="E56" s="46"/>
      <c r="F56" s="46"/>
      <c r="G56" s="46"/>
    </row>
    <row r="57" spans="5:7" ht="12.75">
      <c r="E57" s="46"/>
      <c r="F57" s="46"/>
      <c r="G57" s="46"/>
    </row>
    <row r="58" spans="5:7" ht="12.75">
      <c r="E58" s="46"/>
      <c r="F58" s="46"/>
      <c r="G58" s="46"/>
    </row>
    <row r="59" spans="5:7" ht="12.75">
      <c r="E59" s="46"/>
      <c r="F59" s="46"/>
      <c r="G59" s="46"/>
    </row>
    <row r="60" spans="5:7" ht="12.75">
      <c r="E60" s="46"/>
      <c r="F60" s="46"/>
      <c r="G60" s="46"/>
    </row>
    <row r="61" spans="5:7" ht="12.75">
      <c r="E61" s="46"/>
      <c r="F61" s="46"/>
      <c r="G61" s="46"/>
    </row>
    <row r="62" spans="5:7" ht="12.75">
      <c r="E62" s="46"/>
      <c r="F62" s="46"/>
      <c r="G62" s="46"/>
    </row>
    <row r="63" spans="5:7" ht="12.75">
      <c r="E63" s="46"/>
      <c r="F63" s="46"/>
      <c r="G63" s="46"/>
    </row>
    <row r="64" spans="5:7" ht="12.75">
      <c r="E64" s="46"/>
      <c r="F64" s="46"/>
      <c r="G64" s="46"/>
    </row>
    <row r="65" spans="5:7" ht="12.75">
      <c r="E65" s="46"/>
      <c r="F65" s="46"/>
      <c r="G65" s="46"/>
    </row>
    <row r="66" spans="5:7" ht="12.75">
      <c r="E66" s="46"/>
      <c r="F66" s="46"/>
      <c r="G66" s="46"/>
    </row>
    <row r="67" spans="5:7" ht="12.75">
      <c r="E67" s="46"/>
      <c r="F67" s="46"/>
      <c r="G67" s="46"/>
    </row>
    <row r="68" spans="5:7" ht="12.75">
      <c r="E68" s="46"/>
      <c r="F68" s="46"/>
      <c r="G68" s="46"/>
    </row>
    <row r="69" spans="5:7" ht="12.75">
      <c r="E69" s="46"/>
      <c r="F69" s="46"/>
      <c r="G69" s="46"/>
    </row>
    <row r="70" spans="5:7" ht="12.75">
      <c r="E70" s="46"/>
      <c r="F70" s="46"/>
      <c r="G70" s="46"/>
    </row>
    <row r="71" spans="5:7" ht="12.75">
      <c r="E71" s="46"/>
      <c r="F71" s="46"/>
      <c r="G71" s="46"/>
    </row>
    <row r="72" spans="5:7" ht="12.75">
      <c r="E72" s="46"/>
      <c r="F72" s="46"/>
      <c r="G72" s="46"/>
    </row>
    <row r="73" spans="5:7" ht="12.75">
      <c r="E73" s="46"/>
      <c r="F73" s="46"/>
      <c r="G73" s="46"/>
    </row>
    <row r="74" spans="5:7" ht="12.75">
      <c r="E74" s="46"/>
      <c r="F74" s="46"/>
      <c r="G74" s="46"/>
    </row>
    <row r="75" spans="5:7" ht="12.75">
      <c r="E75" s="46"/>
      <c r="F75" s="46"/>
      <c r="G75" s="46"/>
    </row>
    <row r="76" spans="5:7" ht="12.75">
      <c r="E76" s="46"/>
      <c r="F76" s="46"/>
      <c r="G76" s="46"/>
    </row>
    <row r="77" spans="5:7" ht="12.75">
      <c r="E77" s="46"/>
      <c r="F77" s="46"/>
      <c r="G77" s="46"/>
    </row>
    <row r="78" spans="5:7" ht="12.75">
      <c r="E78" s="46"/>
      <c r="F78" s="46"/>
      <c r="G78" s="46"/>
    </row>
    <row r="79" spans="5:7" ht="12.75">
      <c r="E79" s="46"/>
      <c r="F79" s="46"/>
      <c r="G79" s="46"/>
    </row>
    <row r="80" spans="5:7" ht="12.75">
      <c r="E80" s="46"/>
      <c r="F80" s="46"/>
      <c r="G80" s="46"/>
    </row>
    <row r="81" spans="5:7" ht="12.75">
      <c r="E81" s="46"/>
      <c r="F81" s="46"/>
      <c r="G81" s="46"/>
    </row>
    <row r="82" spans="5:7" ht="12.75">
      <c r="E82" s="46"/>
      <c r="F82" s="46"/>
      <c r="G82" s="46"/>
    </row>
    <row r="83" spans="5:7" ht="12.75">
      <c r="E83" s="46"/>
      <c r="F83" s="46"/>
      <c r="G83" s="46"/>
    </row>
    <row r="84" spans="5:7" ht="12.75">
      <c r="E84" s="46"/>
      <c r="F84" s="46"/>
      <c r="G84" s="46"/>
    </row>
    <row r="85" spans="5:7" ht="12.75">
      <c r="E85" s="46"/>
      <c r="F85" s="46"/>
      <c r="G85" s="46"/>
    </row>
  </sheetData>
  <sheetProtection/>
  <mergeCells count="5">
    <mergeCell ref="B47:B48"/>
    <mergeCell ref="A2:G2"/>
    <mergeCell ref="A3:G3"/>
    <mergeCell ref="C6:D6"/>
    <mergeCell ref="B29:B30"/>
  </mergeCells>
  <printOptions horizontalCentered="1"/>
  <pageMargins left="0.31496062992125984" right="0.2755905511811024" top="0.35433070866141736" bottom="0" header="0" footer="0"/>
  <pageSetup firstPageNumber="5" useFirstPageNumber="1" orientation="landscape" paperSize="9" scale="65" r:id="rId1"/>
  <headerFooter alignWithMargins="0">
    <oddFooter>&amp;C&amp;K000000&amp;P</oddFooter>
  </headerFooter>
  <rowBreaks count="1" manualBreakCount="1">
    <brk id="45" max="6" man="1"/>
  </rowBreaks>
</worksheet>
</file>

<file path=xl/worksheets/sheet3.xml><?xml version="1.0" encoding="utf-8"?>
<worksheet xmlns="http://schemas.openxmlformats.org/spreadsheetml/2006/main" xmlns:r="http://schemas.openxmlformats.org/officeDocument/2006/relationships">
  <dimension ref="A2:DW35"/>
  <sheetViews>
    <sheetView zoomScale="95" zoomScaleNormal="95" zoomScalePageLayoutView="0" workbookViewId="0" topLeftCell="A1">
      <selection activeCell="A6" sqref="A6:D6"/>
    </sheetView>
  </sheetViews>
  <sheetFormatPr defaultColWidth="10.88671875" defaultRowHeight="15.75"/>
  <cols>
    <col min="1" max="1" width="6.5546875" style="83" customWidth="1"/>
    <col min="2" max="2" width="40.99609375" style="55" bestFit="1" customWidth="1"/>
    <col min="3" max="4" width="14.10546875" style="84" bestFit="1" customWidth="1"/>
    <col min="5" max="5" width="2.77734375" style="55" bestFit="1" customWidth="1"/>
    <col min="6" max="16384" width="10.88671875" style="55" customWidth="1"/>
  </cols>
  <sheetData>
    <row r="2" spans="1:4" ht="15">
      <c r="A2" s="486" t="s">
        <v>97</v>
      </c>
      <c r="B2" s="486"/>
      <c r="C2" s="486"/>
      <c r="D2" s="486"/>
    </row>
    <row r="3" spans="1:4" ht="15">
      <c r="A3" s="486" t="s">
        <v>330</v>
      </c>
      <c r="B3" s="486"/>
      <c r="C3" s="486"/>
      <c r="D3" s="486"/>
    </row>
    <row r="4" spans="1:4" ht="15">
      <c r="A4" s="486" t="s">
        <v>199</v>
      </c>
      <c r="B4" s="486"/>
      <c r="C4" s="486"/>
      <c r="D4" s="486"/>
    </row>
    <row r="5" spans="1:4" ht="15">
      <c r="A5" s="54"/>
      <c r="B5" s="54"/>
      <c r="C5" s="54"/>
      <c r="D5" s="54"/>
    </row>
    <row r="6" spans="1:4" ht="60.75" customHeight="1">
      <c r="A6" s="488" t="s">
        <v>129</v>
      </c>
      <c r="B6" s="488"/>
      <c r="C6" s="488"/>
      <c r="D6" s="488"/>
    </row>
    <row r="8" spans="1:4" ht="15">
      <c r="A8" s="56"/>
      <c r="B8" s="57"/>
      <c r="C8" s="198"/>
      <c r="D8" s="58"/>
    </row>
    <row r="9" spans="1:4" ht="15.75" customHeight="1">
      <c r="A9" s="489" t="s">
        <v>98</v>
      </c>
      <c r="B9" s="489" t="s">
        <v>15</v>
      </c>
      <c r="C9" s="59" t="s">
        <v>331</v>
      </c>
      <c r="D9" s="59" t="str">
        <f>+C9</f>
        <v>Enero - Diciembre</v>
      </c>
    </row>
    <row r="10" spans="1:4" ht="15.75" customHeight="1">
      <c r="A10" s="490"/>
      <c r="B10" s="490"/>
      <c r="C10" s="60" t="s">
        <v>141</v>
      </c>
      <c r="D10" s="60" t="s">
        <v>200</v>
      </c>
    </row>
    <row r="11" spans="1:4" ht="15">
      <c r="A11" s="490"/>
      <c r="B11" s="490"/>
      <c r="C11" s="60" t="s">
        <v>109</v>
      </c>
      <c r="D11" s="60" t="s">
        <v>109</v>
      </c>
    </row>
    <row r="12" spans="1:4" ht="18" customHeight="1">
      <c r="A12" s="61" t="s">
        <v>99</v>
      </c>
      <c r="B12" s="62" t="s">
        <v>100</v>
      </c>
      <c r="C12" s="63">
        <v>87.00345717283537</v>
      </c>
      <c r="D12" s="338">
        <f>+'COMPORTA 1'!L23</f>
        <v>76.87666539948403</v>
      </c>
    </row>
    <row r="13" spans="1:4" ht="8.25" customHeight="1">
      <c r="A13" s="64"/>
      <c r="B13" s="57"/>
      <c r="C13" s="65"/>
      <c r="D13" s="339"/>
    </row>
    <row r="14" spans="1:4" ht="18" customHeight="1">
      <c r="A14" s="61" t="s">
        <v>101</v>
      </c>
      <c r="B14" s="62" t="s">
        <v>8</v>
      </c>
      <c r="C14" s="63">
        <v>59.79153205154656</v>
      </c>
      <c r="D14" s="338">
        <f>+'COMPORTA 1'!L34</f>
        <v>37.535540858676896</v>
      </c>
    </row>
    <row r="15" spans="1:4" ht="18" customHeight="1">
      <c r="A15" s="66" t="s">
        <v>23</v>
      </c>
      <c r="B15" s="67" t="s">
        <v>102</v>
      </c>
      <c r="C15" s="68">
        <v>81.44388372093024</v>
      </c>
      <c r="D15" s="340">
        <f>+'COMPORTA 1'!L27</f>
        <v>89.41344518762044</v>
      </c>
    </row>
    <row r="16" spans="1:4" ht="18" customHeight="1">
      <c r="A16" s="66" t="s">
        <v>24</v>
      </c>
      <c r="B16" s="67" t="s">
        <v>25</v>
      </c>
      <c r="C16" s="68">
        <v>73.47332264957265</v>
      </c>
      <c r="D16" s="340">
        <f>+'COMPORTA 1'!L28</f>
        <v>78.38419871794872</v>
      </c>
    </row>
    <row r="17" spans="1:5" ht="18" customHeight="1">
      <c r="A17" s="66" t="s">
        <v>26</v>
      </c>
      <c r="B17" s="67" t="s">
        <v>81</v>
      </c>
      <c r="C17" s="68">
        <v>64.44677661169416</v>
      </c>
      <c r="D17" s="340">
        <f>+'COMPORTA 1'!L29</f>
        <v>44.22162500488987</v>
      </c>
      <c r="E17" s="69"/>
    </row>
    <row r="18" spans="1:4" ht="18" customHeight="1">
      <c r="A18" s="66" t="s">
        <v>27</v>
      </c>
      <c r="B18" s="67" t="s">
        <v>28</v>
      </c>
      <c r="C18" s="68">
        <v>30.830995098039203</v>
      </c>
      <c r="D18" s="340">
        <f>+'COMPORTA 1'!L30</f>
        <v>24.38011274509804</v>
      </c>
    </row>
    <row r="19" spans="1:4" ht="18" customHeight="1">
      <c r="A19" s="66" t="s">
        <v>29</v>
      </c>
      <c r="B19" s="67" t="s">
        <v>30</v>
      </c>
      <c r="C19" s="68">
        <v>56.57728571428572</v>
      </c>
      <c r="D19" s="340">
        <f>+'COMPORTA 1'!L31</f>
        <v>66.29728205128205</v>
      </c>
    </row>
    <row r="20" spans="1:4" ht="18" customHeight="1">
      <c r="A20" s="66" t="s">
        <v>31</v>
      </c>
      <c r="B20" s="67" t="s">
        <v>32</v>
      </c>
      <c r="C20" s="68">
        <v>78.26034146341463</v>
      </c>
      <c r="D20" s="340">
        <f>+'COMPORTA 1'!L32</f>
        <v>17.707700000000003</v>
      </c>
    </row>
    <row r="21" spans="1:4" ht="18" customHeight="1">
      <c r="A21" s="66" t="s">
        <v>82</v>
      </c>
      <c r="B21" s="67" t="s">
        <v>139</v>
      </c>
      <c r="C21" s="68">
        <v>66.04566951886164</v>
      </c>
      <c r="D21" s="340">
        <f>+'COMPORTA 1'!L33</f>
        <v>18.273701124799143</v>
      </c>
    </row>
    <row r="22" spans="1:4" ht="8.25" customHeight="1">
      <c r="A22" s="64"/>
      <c r="B22" s="57"/>
      <c r="C22" s="65"/>
      <c r="D22" s="339"/>
    </row>
    <row r="23" spans="1:4" ht="18" customHeight="1">
      <c r="A23" s="61" t="s">
        <v>103</v>
      </c>
      <c r="B23" s="70" t="s">
        <v>104</v>
      </c>
      <c r="C23" s="63">
        <v>88.98233801496613</v>
      </c>
      <c r="D23" s="338">
        <f>+'COMPORTA 1'!L64</f>
        <v>75.6704424398853</v>
      </c>
    </row>
    <row r="24" spans="1:4" ht="18" customHeight="1">
      <c r="A24" s="66" t="s">
        <v>45</v>
      </c>
      <c r="B24" s="71" t="s">
        <v>46</v>
      </c>
      <c r="C24" s="68">
        <v>75.77994146958791</v>
      </c>
      <c r="D24" s="340">
        <f>+'COMPORTA 1'!L38</f>
        <v>78.31593902601574</v>
      </c>
    </row>
    <row r="25" spans="1:4" ht="18" customHeight="1">
      <c r="A25" s="66" t="s">
        <v>55</v>
      </c>
      <c r="B25" s="67" t="s">
        <v>84</v>
      </c>
      <c r="C25" s="68">
        <v>95.44785785682281</v>
      </c>
      <c r="D25" s="340">
        <f>+'COMPORTA 1'!L47</f>
        <v>83.0797994972987</v>
      </c>
    </row>
    <row r="26" spans="1:4" ht="18" customHeight="1">
      <c r="A26" s="66" t="s">
        <v>58</v>
      </c>
      <c r="B26" s="67" t="s">
        <v>33</v>
      </c>
      <c r="C26" s="68">
        <v>87.93364203364203</v>
      </c>
      <c r="D26" s="340">
        <f>+'COMPORTA 1'!L52</f>
        <v>62.17283664624122</v>
      </c>
    </row>
    <row r="27" spans="1:4" ht="18" customHeight="1">
      <c r="A27" s="66" t="s">
        <v>62</v>
      </c>
      <c r="B27" s="67" t="s">
        <v>63</v>
      </c>
      <c r="C27" s="68">
        <v>87.98919564089258</v>
      </c>
      <c r="D27" s="340">
        <f>+'COMPORTA 1'!L58</f>
        <v>64.77907400656215</v>
      </c>
    </row>
    <row r="28" spans="1:4" ht="8.25" customHeight="1">
      <c r="A28" s="72"/>
      <c r="B28" s="73"/>
      <c r="C28" s="74"/>
      <c r="D28" s="341"/>
    </row>
    <row r="29" spans="1:5" s="75" customFormat="1" ht="18" customHeight="1">
      <c r="A29" s="61" t="s">
        <v>105</v>
      </c>
      <c r="B29" s="70" t="s">
        <v>106</v>
      </c>
      <c r="C29" s="63">
        <v>100</v>
      </c>
      <c r="D29" s="338">
        <f>+'COMPORTA 1'!L68</f>
        <v>92.23601637107777</v>
      </c>
      <c r="E29" s="69"/>
    </row>
    <row r="30" spans="1:127" s="77" customFormat="1" ht="7.5" customHeight="1">
      <c r="A30" s="72"/>
      <c r="B30" s="76"/>
      <c r="C30" s="74"/>
      <c r="D30" s="341"/>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row>
    <row r="31" spans="1:6" ht="18" customHeight="1">
      <c r="A31" s="61" t="s">
        <v>172</v>
      </c>
      <c r="B31" s="70" t="s">
        <v>107</v>
      </c>
      <c r="C31" s="79">
        <v>0</v>
      </c>
      <c r="D31" s="342">
        <f>+'COMPORTA 1'!L72</f>
        <v>0</v>
      </c>
      <c r="E31" s="75"/>
      <c r="F31" s="75"/>
    </row>
    <row r="32" spans="1:8" ht="9" customHeight="1">
      <c r="A32" s="78"/>
      <c r="B32" s="70"/>
      <c r="C32" s="80"/>
      <c r="D32" s="343"/>
      <c r="E32" s="75"/>
      <c r="F32" s="75"/>
      <c r="G32" s="75"/>
      <c r="H32" s="75"/>
    </row>
    <row r="33" spans="1:4" ht="18" customHeight="1">
      <c r="A33" s="78"/>
      <c r="B33" s="70" t="s">
        <v>108</v>
      </c>
      <c r="C33" s="79">
        <v>82.93401834332853</v>
      </c>
      <c r="D33" s="344">
        <f>+'COMPORTA 1'!L73</f>
        <v>69.75718811103494</v>
      </c>
    </row>
    <row r="34" spans="1:4" ht="18" customHeight="1">
      <c r="A34" s="81"/>
      <c r="C34" s="82"/>
      <c r="D34" s="82"/>
    </row>
    <row r="35" spans="2:4" ht="13.5" customHeight="1">
      <c r="B35" s="487"/>
      <c r="C35" s="487"/>
      <c r="D35" s="487"/>
    </row>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7">
    <mergeCell ref="A2:D2"/>
    <mergeCell ref="A3:D3"/>
    <mergeCell ref="A4:D4"/>
    <mergeCell ref="B35:D35"/>
    <mergeCell ref="A6:D6"/>
    <mergeCell ref="A9:A11"/>
    <mergeCell ref="B9:B11"/>
  </mergeCells>
  <printOptions horizontalCentered="1"/>
  <pageMargins left="0.1968503937007874" right="0.1968503937007874" top="0.984251968503937" bottom="0.984251968503937" header="0.15748031496062992" footer="0.15748031496062992"/>
  <pageSetup firstPageNumber="7" useFirstPageNumber="1" horizontalDpi="300" verticalDpi="300" orientation="portrait" paperSize="9" scale="95" r:id="rId2"/>
  <headerFooter alignWithMargins="0">
    <oddFooter>&amp;C&amp;"Arial,Normal"&amp;K000000&amp;P</oddFooter>
  </headerFooter>
  <drawing r:id="rId1"/>
</worksheet>
</file>

<file path=xl/worksheets/sheet4.xml><?xml version="1.0" encoding="utf-8"?>
<worksheet xmlns="http://schemas.openxmlformats.org/spreadsheetml/2006/main" xmlns:r="http://schemas.openxmlformats.org/officeDocument/2006/relationships">
  <dimension ref="A1:J47"/>
  <sheetViews>
    <sheetView zoomScale="84" zoomScaleNormal="84" zoomScalePageLayoutView="0" workbookViewId="0" topLeftCell="A6">
      <selection activeCell="K10" sqref="K10"/>
    </sheetView>
  </sheetViews>
  <sheetFormatPr defaultColWidth="11.5546875" defaultRowHeight="15.75"/>
  <cols>
    <col min="1" max="1" width="20.21484375" style="94" customWidth="1"/>
    <col min="2" max="2" width="4.3359375" style="94" bestFit="1" customWidth="1"/>
    <col min="3" max="3" width="8.10546875" style="94" customWidth="1"/>
    <col min="4" max="4" width="27.77734375" style="94" customWidth="1"/>
    <col min="5" max="5" width="7.77734375" style="94" customWidth="1"/>
    <col min="6" max="7" width="7.88671875" style="94" customWidth="1"/>
    <col min="8" max="8" width="12.99609375" style="233" customWidth="1"/>
    <col min="9" max="9" width="7.88671875" style="97" bestFit="1" customWidth="1"/>
    <col min="10" max="10" width="10.21484375" style="94" bestFit="1" customWidth="1"/>
    <col min="11" max="16384" width="11.5546875" style="94" customWidth="1"/>
  </cols>
  <sheetData>
    <row r="1" spans="1:10" ht="15">
      <c r="A1" s="491" t="s">
        <v>143</v>
      </c>
      <c r="B1" s="492"/>
      <c r="C1" s="492"/>
      <c r="D1" s="492"/>
      <c r="E1" s="492"/>
      <c r="F1" s="492"/>
      <c r="G1" s="492"/>
      <c r="H1" s="492"/>
      <c r="I1" s="93"/>
      <c r="J1" s="93"/>
    </row>
    <row r="2" spans="1:10" ht="6" customHeight="1">
      <c r="A2" s="147"/>
      <c r="B2" s="147"/>
      <c r="C2" s="147"/>
      <c r="D2" s="147"/>
      <c r="E2" s="147"/>
      <c r="F2" s="147"/>
      <c r="G2" s="147"/>
      <c r="H2" s="228"/>
      <c r="I2" s="93"/>
      <c r="J2" s="93"/>
    </row>
    <row r="3" spans="1:10" ht="15">
      <c r="A3" s="493" t="s">
        <v>332</v>
      </c>
      <c r="B3" s="494"/>
      <c r="C3" s="494"/>
      <c r="D3" s="494"/>
      <c r="E3" s="494"/>
      <c r="F3" s="494"/>
      <c r="G3" s="494"/>
      <c r="H3" s="494"/>
      <c r="I3" s="93"/>
      <c r="J3" s="93"/>
    </row>
    <row r="4" spans="1:9" ht="9" customHeight="1">
      <c r="A4" s="95"/>
      <c r="B4" s="95"/>
      <c r="C4" s="95"/>
      <c r="D4" s="220"/>
      <c r="E4" s="220"/>
      <c r="F4" s="142"/>
      <c r="G4" s="142"/>
      <c r="H4" s="229"/>
      <c r="I4" s="96"/>
    </row>
    <row r="5" spans="1:9" ht="28.5" customHeight="1">
      <c r="A5" s="495" t="s">
        <v>333</v>
      </c>
      <c r="B5" s="495"/>
      <c r="C5" s="495"/>
      <c r="D5" s="495"/>
      <c r="E5" s="495"/>
      <c r="F5" s="495"/>
      <c r="G5" s="495"/>
      <c r="H5" s="495"/>
      <c r="I5" s="96"/>
    </row>
    <row r="6" spans="1:9" ht="8.25" customHeight="1">
      <c r="A6" s="98" t="s">
        <v>373</v>
      </c>
      <c r="B6" s="105"/>
      <c r="C6" s="105"/>
      <c r="D6" s="105"/>
      <c r="E6" s="106"/>
      <c r="F6" s="100"/>
      <c r="G6" s="100"/>
      <c r="H6" s="230"/>
      <c r="I6" s="96"/>
    </row>
    <row r="7" spans="1:9" ht="15">
      <c r="A7" s="150" t="s">
        <v>116</v>
      </c>
      <c r="B7" s="97"/>
      <c r="C7" s="97"/>
      <c r="D7" s="97"/>
      <c r="E7" s="97"/>
      <c r="F7" s="97"/>
      <c r="G7" s="97"/>
      <c r="H7" s="231"/>
      <c r="I7" s="96"/>
    </row>
    <row r="8" spans="1:9" ht="25.5">
      <c r="A8" s="193" t="s">
        <v>117</v>
      </c>
      <c r="B8" s="193" t="s">
        <v>118</v>
      </c>
      <c r="C8" s="194" t="s">
        <v>10</v>
      </c>
      <c r="D8" s="193" t="s">
        <v>9</v>
      </c>
      <c r="E8" s="195" t="s">
        <v>119</v>
      </c>
      <c r="F8" s="196" t="s">
        <v>142</v>
      </c>
      <c r="G8" s="196" t="s">
        <v>202</v>
      </c>
      <c r="H8" s="196" t="s">
        <v>120</v>
      </c>
      <c r="I8" s="96"/>
    </row>
    <row r="9" spans="1:9" ht="15.75">
      <c r="A9" s="221" t="s">
        <v>2</v>
      </c>
      <c r="B9" s="222"/>
      <c r="C9" s="223"/>
      <c r="D9" s="222"/>
      <c r="E9" s="224"/>
      <c r="F9" s="225"/>
      <c r="G9" s="225"/>
      <c r="H9" s="226"/>
      <c r="I9" s="96"/>
    </row>
    <row r="10" spans="1:9" ht="168" customHeight="1">
      <c r="A10" s="171" t="s">
        <v>152</v>
      </c>
      <c r="B10" s="169" t="s">
        <v>153</v>
      </c>
      <c r="C10" s="170" t="s">
        <v>148</v>
      </c>
      <c r="D10" s="171" t="s">
        <v>371</v>
      </c>
      <c r="E10" s="172">
        <v>5000</v>
      </c>
      <c r="F10" s="172">
        <v>2500</v>
      </c>
      <c r="G10" s="172">
        <v>0</v>
      </c>
      <c r="H10" s="232">
        <f>+E10-F10-G10</f>
        <v>2500</v>
      </c>
      <c r="I10" s="96"/>
    </row>
    <row r="11" spans="1:9" ht="22.5" customHeight="1">
      <c r="A11" s="98"/>
      <c r="B11" s="105"/>
      <c r="C11" s="105"/>
      <c r="D11" s="105"/>
      <c r="E11" s="106"/>
      <c r="F11" s="100"/>
      <c r="G11" s="100"/>
      <c r="H11" s="99">
        <f>+H10</f>
        <v>2500</v>
      </c>
      <c r="I11" s="96"/>
    </row>
    <row r="12" spans="1:9" ht="31.5" customHeight="1">
      <c r="A12" s="495" t="s">
        <v>334</v>
      </c>
      <c r="B12" s="495"/>
      <c r="C12" s="495"/>
      <c r="D12" s="495"/>
      <c r="E12" s="495"/>
      <c r="F12" s="495"/>
      <c r="G12" s="495"/>
      <c r="H12" s="495"/>
      <c r="I12" s="96"/>
    </row>
    <row r="13" spans="1:9" ht="14.25" customHeight="1">
      <c r="A13" s="288"/>
      <c r="B13" s="288"/>
      <c r="C13" s="288"/>
      <c r="D13" s="288"/>
      <c r="E13" s="288"/>
      <c r="F13" s="288"/>
      <c r="G13" s="288"/>
      <c r="H13" s="288"/>
      <c r="I13" s="96"/>
    </row>
    <row r="14" spans="1:10" ht="15">
      <c r="A14" s="150" t="s">
        <v>116</v>
      </c>
      <c r="B14" s="97"/>
      <c r="C14" s="97"/>
      <c r="D14" s="97"/>
      <c r="E14" s="97"/>
      <c r="F14" s="97"/>
      <c r="G14" s="97"/>
      <c r="H14" s="231"/>
      <c r="J14" s="141"/>
    </row>
    <row r="15" spans="1:10" ht="25.5">
      <c r="A15" s="193" t="s">
        <v>117</v>
      </c>
      <c r="B15" s="193" t="s">
        <v>118</v>
      </c>
      <c r="C15" s="194" t="s">
        <v>10</v>
      </c>
      <c r="D15" s="193" t="s">
        <v>9</v>
      </c>
      <c r="E15" s="195" t="s">
        <v>119</v>
      </c>
      <c r="F15" s="196" t="s">
        <v>142</v>
      </c>
      <c r="G15" s="196" t="s">
        <v>202</v>
      </c>
      <c r="H15" s="196" t="s">
        <v>120</v>
      </c>
      <c r="J15" s="141"/>
    </row>
    <row r="16" spans="1:8" ht="15.75">
      <c r="A16" s="221" t="s">
        <v>2</v>
      </c>
      <c r="B16" s="222"/>
      <c r="C16" s="223"/>
      <c r="D16" s="222"/>
      <c r="E16" s="224"/>
      <c r="F16" s="225"/>
      <c r="G16" s="225"/>
      <c r="H16" s="226"/>
    </row>
    <row r="17" spans="1:8" ht="120" customHeight="1">
      <c r="A17" s="171" t="s">
        <v>177</v>
      </c>
      <c r="B17" s="169" t="s">
        <v>176</v>
      </c>
      <c r="C17" s="170" t="s">
        <v>157</v>
      </c>
      <c r="D17" s="290" t="s">
        <v>261</v>
      </c>
      <c r="E17" s="172">
        <v>15000</v>
      </c>
      <c r="F17" s="172">
        <f>2000+3000</f>
        <v>5000</v>
      </c>
      <c r="G17" s="232">
        <v>10000</v>
      </c>
      <c r="H17" s="232">
        <f>+E17-F17-G17</f>
        <v>0</v>
      </c>
    </row>
    <row r="18" spans="1:8" ht="108" customHeight="1">
      <c r="A18" s="171" t="s">
        <v>184</v>
      </c>
      <c r="B18" s="284" t="s">
        <v>185</v>
      </c>
      <c r="C18" s="170" t="s">
        <v>157</v>
      </c>
      <c r="D18" s="171" t="s">
        <v>366</v>
      </c>
      <c r="E18" s="172">
        <v>21000</v>
      </c>
      <c r="F18" s="172">
        <v>2000</v>
      </c>
      <c r="G18" s="172">
        <f>3000+7000+9000</f>
        <v>19000</v>
      </c>
      <c r="H18" s="232">
        <f>+E18-F18-G18</f>
        <v>0</v>
      </c>
    </row>
    <row r="19" spans="1:8" ht="18.75" customHeight="1">
      <c r="A19" s="221" t="s">
        <v>5</v>
      </c>
      <c r="B19" s="222"/>
      <c r="C19" s="223"/>
      <c r="D19" s="222"/>
      <c r="E19" s="224"/>
      <c r="F19" s="225"/>
      <c r="G19" s="225"/>
      <c r="H19" s="226"/>
    </row>
    <row r="20" spans="1:8" ht="122.25" customHeight="1">
      <c r="A20" s="171" t="s">
        <v>174</v>
      </c>
      <c r="B20" s="169" t="s">
        <v>175</v>
      </c>
      <c r="C20" s="170" t="s">
        <v>157</v>
      </c>
      <c r="D20" s="290" t="s">
        <v>367</v>
      </c>
      <c r="E20" s="172">
        <v>12000</v>
      </c>
      <c r="F20" s="172">
        <v>3600</v>
      </c>
      <c r="G20" s="172">
        <f>4200+4200</f>
        <v>8400</v>
      </c>
      <c r="H20" s="232">
        <f>+E20-F20-G20</f>
        <v>0</v>
      </c>
    </row>
    <row r="21" spans="1:8" ht="18.75" customHeight="1">
      <c r="A21" s="221" t="s">
        <v>5</v>
      </c>
      <c r="B21" s="222"/>
      <c r="C21" s="223"/>
      <c r="D21" s="222"/>
      <c r="E21" s="224"/>
      <c r="F21" s="225"/>
      <c r="G21" s="225"/>
      <c r="H21" s="226"/>
    </row>
    <row r="22" spans="1:10" ht="25.5">
      <c r="A22" s="348" t="s">
        <v>117</v>
      </c>
      <c r="B22" s="348" t="s">
        <v>118</v>
      </c>
      <c r="C22" s="349" t="s">
        <v>10</v>
      </c>
      <c r="D22" s="348" t="s">
        <v>9</v>
      </c>
      <c r="E22" s="195" t="s">
        <v>119</v>
      </c>
      <c r="F22" s="196" t="s">
        <v>142</v>
      </c>
      <c r="G22" s="196" t="s">
        <v>202</v>
      </c>
      <c r="H22" s="196" t="s">
        <v>120</v>
      </c>
      <c r="J22" s="141"/>
    </row>
    <row r="23" spans="1:8" ht="114" customHeight="1">
      <c r="A23" s="171" t="s">
        <v>178</v>
      </c>
      <c r="B23" s="169" t="s">
        <v>179</v>
      </c>
      <c r="C23" s="170" t="s">
        <v>157</v>
      </c>
      <c r="D23" s="290" t="s">
        <v>254</v>
      </c>
      <c r="E23" s="172">
        <v>9000</v>
      </c>
      <c r="F23" s="172">
        <f>1800+3600</f>
        <v>5400</v>
      </c>
      <c r="G23" s="232">
        <v>3600</v>
      </c>
      <c r="H23" s="232">
        <f>+E23-F23-G23</f>
        <v>0</v>
      </c>
    </row>
    <row r="24" spans="1:8" ht="27" customHeight="1">
      <c r="A24" s="185"/>
      <c r="B24" s="120"/>
      <c r="C24" s="121"/>
      <c r="D24" s="122"/>
      <c r="E24" s="106"/>
      <c r="F24" s="106"/>
      <c r="G24" s="106"/>
      <c r="H24" s="99">
        <f>SUM(H16:H20)</f>
        <v>0</v>
      </c>
    </row>
    <row r="25" spans="1:8" ht="42" customHeight="1">
      <c r="A25" s="495" t="s">
        <v>335</v>
      </c>
      <c r="B25" s="495"/>
      <c r="C25" s="495"/>
      <c r="D25" s="495"/>
      <c r="E25" s="495"/>
      <c r="F25" s="495"/>
      <c r="G25" s="495"/>
      <c r="H25" s="495"/>
    </row>
    <row r="26" spans="1:7" ht="12.75">
      <c r="A26" s="97"/>
      <c r="B26" s="97"/>
      <c r="C26" s="97"/>
      <c r="D26" s="97"/>
      <c r="E26" s="97"/>
      <c r="F26" s="97"/>
      <c r="G26" s="97"/>
    </row>
    <row r="27" spans="1:8" ht="15">
      <c r="A27" s="150" t="s">
        <v>116</v>
      </c>
      <c r="B27" s="97"/>
      <c r="C27" s="97"/>
      <c r="D27" s="97"/>
      <c r="E27" s="97"/>
      <c r="F27" s="97"/>
      <c r="G27" s="97"/>
      <c r="H27" s="231"/>
    </row>
    <row r="28" spans="1:8" ht="25.5">
      <c r="A28" s="193" t="s">
        <v>117</v>
      </c>
      <c r="B28" s="193" t="s">
        <v>118</v>
      </c>
      <c r="C28" s="194" t="s">
        <v>10</v>
      </c>
      <c r="D28" s="193" t="s">
        <v>9</v>
      </c>
      <c r="E28" s="195" t="s">
        <v>119</v>
      </c>
      <c r="F28" s="196" t="s">
        <v>142</v>
      </c>
      <c r="G28" s="196" t="s">
        <v>202</v>
      </c>
      <c r="H28" s="196" t="s">
        <v>120</v>
      </c>
    </row>
    <row r="29" spans="1:8" ht="20.25" customHeight="1">
      <c r="A29" s="221" t="s">
        <v>168</v>
      </c>
      <c r="B29" s="222"/>
      <c r="C29" s="223"/>
      <c r="D29" s="222"/>
      <c r="E29" s="224"/>
      <c r="F29" s="225"/>
      <c r="G29" s="225"/>
      <c r="H29" s="226"/>
    </row>
    <row r="30" spans="1:8" ht="164.25" customHeight="1">
      <c r="A30" s="171" t="s">
        <v>169</v>
      </c>
      <c r="B30" s="169" t="s">
        <v>170</v>
      </c>
      <c r="C30" s="170" t="s">
        <v>171</v>
      </c>
      <c r="D30" s="290" t="s">
        <v>372</v>
      </c>
      <c r="E30" s="172">
        <v>8000</v>
      </c>
      <c r="F30" s="172">
        <v>4000</v>
      </c>
      <c r="G30" s="172">
        <v>0</v>
      </c>
      <c r="H30" s="232">
        <f>+E30-F30-G30</f>
        <v>4000</v>
      </c>
    </row>
    <row r="31" spans="1:8" ht="21.75" customHeight="1">
      <c r="A31" s="185"/>
      <c r="B31" s="120"/>
      <c r="C31" s="121"/>
      <c r="D31" s="122"/>
      <c r="E31" s="106"/>
      <c r="F31" s="106"/>
      <c r="G31" s="106"/>
      <c r="H31" s="99">
        <f>+H30</f>
        <v>4000</v>
      </c>
    </row>
    <row r="32" spans="1:7" ht="12.75">
      <c r="A32" s="97"/>
      <c r="B32" s="97"/>
      <c r="C32" s="97"/>
      <c r="D32" s="97"/>
      <c r="E32" s="97"/>
      <c r="F32" s="97"/>
      <c r="G32" s="97"/>
    </row>
    <row r="33" spans="1:7" ht="12.75">
      <c r="A33" s="97"/>
      <c r="B33" s="97"/>
      <c r="C33" s="97"/>
      <c r="D33" s="97"/>
      <c r="E33" s="97"/>
      <c r="F33" s="97"/>
      <c r="G33" s="97"/>
    </row>
    <row r="34" spans="1:8" ht="12.75">
      <c r="A34" s="496" t="s">
        <v>0</v>
      </c>
      <c r="B34" s="496"/>
      <c r="C34" s="496"/>
      <c r="D34" s="496"/>
      <c r="E34" s="496"/>
      <c r="F34" s="496"/>
      <c r="G34" s="496"/>
      <c r="H34" s="496"/>
    </row>
    <row r="35" spans="1:7" ht="12.75">
      <c r="A35" s="97"/>
      <c r="B35" s="97"/>
      <c r="C35" s="97"/>
      <c r="D35" s="97"/>
      <c r="E35" s="97"/>
      <c r="F35" s="97"/>
      <c r="G35" s="97"/>
    </row>
    <row r="36" spans="1:7" ht="12.75">
      <c r="A36" s="97"/>
      <c r="B36" s="97"/>
      <c r="C36" s="97"/>
      <c r="D36" s="97"/>
      <c r="E36" s="97"/>
      <c r="F36" s="97"/>
      <c r="G36" s="97"/>
    </row>
    <row r="37" spans="1:7" ht="12.75">
      <c r="A37" s="97"/>
      <c r="B37" s="97"/>
      <c r="C37" s="97"/>
      <c r="D37" s="97"/>
      <c r="E37" s="97"/>
      <c r="F37" s="97"/>
      <c r="G37" s="97"/>
    </row>
    <row r="38" spans="1:7" ht="12.75">
      <c r="A38" s="97"/>
      <c r="B38" s="97"/>
      <c r="C38" s="97"/>
      <c r="D38" s="97"/>
      <c r="E38" s="97"/>
      <c r="F38" s="97"/>
      <c r="G38" s="97"/>
    </row>
    <row r="39" spans="1:7" ht="12.75">
      <c r="A39" s="97"/>
      <c r="B39" s="97"/>
      <c r="C39" s="97"/>
      <c r="D39" s="97"/>
      <c r="E39" s="97"/>
      <c r="F39" s="97"/>
      <c r="G39" s="97"/>
    </row>
    <row r="40" spans="1:7" ht="12.75">
      <c r="A40" s="97"/>
      <c r="B40" s="97"/>
      <c r="C40" s="97"/>
      <c r="D40" s="97"/>
      <c r="E40" s="97"/>
      <c r="F40" s="97"/>
      <c r="G40" s="97"/>
    </row>
    <row r="41" spans="1:7" ht="12.75">
      <c r="A41" s="97"/>
      <c r="B41" s="97"/>
      <c r="C41" s="97"/>
      <c r="D41" s="97"/>
      <c r="E41" s="97"/>
      <c r="F41" s="97"/>
      <c r="G41" s="97"/>
    </row>
    <row r="42" spans="1:7" ht="12.75">
      <c r="A42" s="97"/>
      <c r="B42" s="97"/>
      <c r="C42" s="97"/>
      <c r="D42" s="97"/>
      <c r="E42" s="97"/>
      <c r="F42" s="97"/>
      <c r="G42" s="97"/>
    </row>
    <row r="43" spans="1:7" ht="12.75">
      <c r="A43" s="97"/>
      <c r="B43" s="97"/>
      <c r="C43" s="97"/>
      <c r="D43" s="97"/>
      <c r="E43" s="97"/>
      <c r="F43" s="97"/>
      <c r="G43" s="97"/>
    </row>
    <row r="44" spans="1:7" ht="12.75">
      <c r="A44" s="97"/>
      <c r="B44" s="97"/>
      <c r="C44" s="97"/>
      <c r="D44" s="97"/>
      <c r="E44" s="97"/>
      <c r="F44" s="97"/>
      <c r="G44" s="97"/>
    </row>
    <row r="45" spans="1:7" ht="12.75">
      <c r="A45" s="97"/>
      <c r="B45" s="97"/>
      <c r="C45" s="97"/>
      <c r="D45" s="97"/>
      <c r="E45" s="97"/>
      <c r="F45" s="97"/>
      <c r="G45" s="97"/>
    </row>
    <row r="46" spans="1:7" ht="12.75">
      <c r="A46" s="97"/>
      <c r="B46" s="97"/>
      <c r="C46" s="97"/>
      <c r="D46" s="97"/>
      <c r="E46" s="97"/>
      <c r="F46" s="97"/>
      <c r="G46" s="97"/>
    </row>
    <row r="47" spans="1:7" ht="12.75">
      <c r="A47" s="97"/>
      <c r="B47" s="97"/>
      <c r="C47" s="97"/>
      <c r="D47" s="97"/>
      <c r="E47" s="97"/>
      <c r="F47" s="97"/>
      <c r="G47" s="97"/>
    </row>
  </sheetData>
  <sheetProtection/>
  <mergeCells count="6">
    <mergeCell ref="A1:H1"/>
    <mergeCell ref="A3:H3"/>
    <mergeCell ref="A5:H5"/>
    <mergeCell ref="A34:H34"/>
    <mergeCell ref="A12:H12"/>
    <mergeCell ref="A25:H25"/>
  </mergeCells>
  <printOptions horizontalCentered="1"/>
  <pageMargins left="0" right="0" top="0.3937007874015748" bottom="0.3937007874015748" header="0" footer="0"/>
  <pageSetup firstPageNumber="8" useFirstPageNumber="1" horizontalDpi="600" verticalDpi="600" orientation="portrait" paperSize="9" scale="80" r:id="rId1"/>
  <headerFooter alignWithMargins="0">
    <oddFooter>&amp;C&amp;"Arial,Normal"&amp;11&amp;K000000&amp;P</oddFooter>
  </headerFooter>
  <rowBreaks count="1" manualBreakCount="1">
    <brk id="24" max="7" man="1"/>
  </rowBreaks>
</worksheet>
</file>

<file path=xl/worksheets/sheet5.xml><?xml version="1.0" encoding="utf-8"?>
<worksheet xmlns="http://schemas.openxmlformats.org/spreadsheetml/2006/main" xmlns:r="http://schemas.openxmlformats.org/officeDocument/2006/relationships">
  <dimension ref="A1:J58"/>
  <sheetViews>
    <sheetView zoomScale="84" zoomScaleNormal="84" zoomScalePageLayoutView="0" workbookViewId="0" topLeftCell="A1">
      <selection activeCell="A6" sqref="A6"/>
    </sheetView>
  </sheetViews>
  <sheetFormatPr defaultColWidth="11.5546875" defaultRowHeight="15.75"/>
  <cols>
    <col min="1" max="1" width="20.21484375" style="94" customWidth="1"/>
    <col min="2" max="2" width="4.99609375" style="94" bestFit="1" customWidth="1"/>
    <col min="3" max="3" width="8.10546875" style="94" customWidth="1"/>
    <col min="4" max="4" width="27.77734375" style="94" customWidth="1"/>
    <col min="5" max="5" width="7.77734375" style="94" customWidth="1"/>
    <col min="6" max="6" width="7.88671875" style="94" customWidth="1"/>
    <col min="7" max="7" width="12.99609375" style="233" customWidth="1"/>
    <col min="8" max="8" width="7.88671875" style="97" bestFit="1" customWidth="1"/>
    <col min="9" max="9" width="10.21484375" style="94" bestFit="1" customWidth="1"/>
    <col min="10" max="16384" width="11.5546875" style="94" customWidth="1"/>
  </cols>
  <sheetData>
    <row r="1" spans="1:9" ht="15">
      <c r="A1" s="491" t="s">
        <v>201</v>
      </c>
      <c r="B1" s="492"/>
      <c r="C1" s="492"/>
      <c r="D1" s="492"/>
      <c r="E1" s="492"/>
      <c r="F1" s="492"/>
      <c r="G1" s="492"/>
      <c r="H1" s="93"/>
      <c r="I1" s="93"/>
    </row>
    <row r="2" spans="1:9" ht="6" customHeight="1">
      <c r="A2" s="147"/>
      <c r="B2" s="147"/>
      <c r="C2" s="147"/>
      <c r="D2" s="147"/>
      <c r="E2" s="147"/>
      <c r="F2" s="147"/>
      <c r="G2" s="228"/>
      <c r="H2" s="93"/>
      <c r="I2" s="93"/>
    </row>
    <row r="3" spans="1:9" ht="15">
      <c r="A3" s="493" t="s">
        <v>332</v>
      </c>
      <c r="B3" s="494"/>
      <c r="C3" s="494"/>
      <c r="D3" s="494"/>
      <c r="E3" s="494"/>
      <c r="F3" s="494"/>
      <c r="G3" s="494"/>
      <c r="H3" s="93"/>
      <c r="I3" s="93"/>
    </row>
    <row r="4" spans="1:8" ht="9" customHeight="1">
      <c r="A4" s="95"/>
      <c r="B4" s="95"/>
      <c r="C4" s="95"/>
      <c r="D4" s="220"/>
      <c r="E4" s="220"/>
      <c r="F4" s="142"/>
      <c r="G4" s="229"/>
      <c r="H4" s="96"/>
    </row>
    <row r="5" spans="1:8" ht="28.5" customHeight="1">
      <c r="A5" s="495" t="s">
        <v>336</v>
      </c>
      <c r="B5" s="495"/>
      <c r="C5" s="495"/>
      <c r="D5" s="495"/>
      <c r="E5" s="495"/>
      <c r="F5" s="495"/>
      <c r="G5" s="495"/>
      <c r="H5" s="96"/>
    </row>
    <row r="6" spans="1:8" ht="8.25" customHeight="1">
      <c r="A6" s="98"/>
      <c r="B6" s="105"/>
      <c r="C6" s="105"/>
      <c r="D6" s="105"/>
      <c r="E6" s="106"/>
      <c r="F6" s="100"/>
      <c r="G6" s="230"/>
      <c r="H6" s="96"/>
    </row>
    <row r="7" spans="1:9" ht="15">
      <c r="A7" s="150" t="s">
        <v>211</v>
      </c>
      <c r="B7" s="97"/>
      <c r="C7" s="97"/>
      <c r="D7" s="97"/>
      <c r="E7" s="97"/>
      <c r="F7" s="97"/>
      <c r="G7" s="231"/>
      <c r="I7" s="141"/>
    </row>
    <row r="8" spans="1:9" ht="25.5">
      <c r="A8" s="193" t="s">
        <v>117</v>
      </c>
      <c r="B8" s="193" t="s">
        <v>118</v>
      </c>
      <c r="C8" s="194" t="s">
        <v>10</v>
      </c>
      <c r="D8" s="193" t="s">
        <v>9</v>
      </c>
      <c r="E8" s="195" t="s">
        <v>119</v>
      </c>
      <c r="F8" s="196" t="s">
        <v>202</v>
      </c>
      <c r="G8" s="196" t="s">
        <v>120</v>
      </c>
      <c r="I8" s="141"/>
    </row>
    <row r="9" spans="1:8" ht="86.25" customHeight="1">
      <c r="A9" s="171" t="s">
        <v>228</v>
      </c>
      <c r="B9" s="169" t="s">
        <v>227</v>
      </c>
      <c r="C9" s="170" t="s">
        <v>229</v>
      </c>
      <c r="D9" s="171" t="s">
        <v>230</v>
      </c>
      <c r="E9" s="172">
        <v>4000</v>
      </c>
      <c r="F9" s="172">
        <v>0</v>
      </c>
      <c r="G9" s="232">
        <f>+E9-F9</f>
        <v>4000</v>
      </c>
      <c r="H9" s="96"/>
    </row>
    <row r="10" spans="1:8" ht="20.25" customHeight="1">
      <c r="A10" s="98"/>
      <c r="B10" s="105"/>
      <c r="C10" s="105"/>
      <c r="D10" s="105"/>
      <c r="E10" s="106"/>
      <c r="F10" s="100"/>
      <c r="G10" s="296">
        <f>SUM(G8:G9)</f>
        <v>4000</v>
      </c>
      <c r="H10" s="96"/>
    </row>
    <row r="11" spans="1:8" ht="12" customHeight="1">
      <c r="A11" s="98"/>
      <c r="B11" s="105"/>
      <c r="C11" s="105"/>
      <c r="D11" s="105"/>
      <c r="E11" s="106"/>
      <c r="F11" s="100"/>
      <c r="G11" s="300"/>
      <c r="H11" s="96"/>
    </row>
    <row r="12" spans="1:8" ht="15">
      <c r="A12" s="150" t="s">
        <v>116</v>
      </c>
      <c r="B12" s="97"/>
      <c r="C12" s="97"/>
      <c r="D12" s="97"/>
      <c r="E12" s="97"/>
      <c r="F12" s="97"/>
      <c r="G12" s="231"/>
      <c r="H12" s="96"/>
    </row>
    <row r="13" spans="1:8" ht="25.5">
      <c r="A13" s="193" t="s">
        <v>117</v>
      </c>
      <c r="B13" s="193" t="s">
        <v>118</v>
      </c>
      <c r="C13" s="194" t="s">
        <v>10</v>
      </c>
      <c r="D13" s="193" t="s">
        <v>9</v>
      </c>
      <c r="E13" s="195" t="s">
        <v>119</v>
      </c>
      <c r="F13" s="196" t="s">
        <v>202</v>
      </c>
      <c r="G13" s="196" t="s">
        <v>120</v>
      </c>
      <c r="H13" s="96"/>
    </row>
    <row r="14" spans="1:8" ht="15.75">
      <c r="A14" s="221" t="s">
        <v>2</v>
      </c>
      <c r="B14" s="222"/>
      <c r="C14" s="223"/>
      <c r="D14" s="222"/>
      <c r="E14" s="224"/>
      <c r="F14" s="225"/>
      <c r="G14" s="226"/>
      <c r="H14" s="96"/>
    </row>
    <row r="15" spans="1:8" ht="173.25" customHeight="1">
      <c r="A15" s="171" t="s">
        <v>237</v>
      </c>
      <c r="B15" s="169" t="s">
        <v>238</v>
      </c>
      <c r="C15" s="170" t="s">
        <v>205</v>
      </c>
      <c r="D15" s="171" t="s">
        <v>313</v>
      </c>
      <c r="E15" s="172">
        <v>15000</v>
      </c>
      <c r="F15" s="172">
        <f>3000+2500+2500+2500</f>
        <v>10500</v>
      </c>
      <c r="G15" s="232">
        <f>+E15-F15</f>
        <v>4500</v>
      </c>
      <c r="H15" s="96"/>
    </row>
    <row r="16" spans="1:8" ht="15.75">
      <c r="A16" s="221" t="s">
        <v>5</v>
      </c>
      <c r="B16" s="222"/>
      <c r="C16" s="223"/>
      <c r="D16" s="222"/>
      <c r="E16" s="224"/>
      <c r="F16" s="225"/>
      <c r="G16" s="226"/>
      <c r="H16" s="96"/>
    </row>
    <row r="17" spans="1:8" ht="116.25" customHeight="1">
      <c r="A17" s="171" t="s">
        <v>203</v>
      </c>
      <c r="B17" s="169" t="s">
        <v>204</v>
      </c>
      <c r="C17" s="170" t="s">
        <v>205</v>
      </c>
      <c r="D17" s="171" t="s">
        <v>314</v>
      </c>
      <c r="E17" s="172">
        <v>15000</v>
      </c>
      <c r="F17" s="172">
        <f>4500*2+3000+3000</f>
        <v>15000</v>
      </c>
      <c r="G17" s="232">
        <f>+E17-F17</f>
        <v>0</v>
      </c>
      <c r="H17" s="96"/>
    </row>
    <row r="18" spans="1:8" ht="89.25" customHeight="1">
      <c r="A18" s="171" t="s">
        <v>206</v>
      </c>
      <c r="B18" s="169" t="s">
        <v>207</v>
      </c>
      <c r="C18" s="170" t="s">
        <v>205</v>
      </c>
      <c r="D18" s="171" t="s">
        <v>299</v>
      </c>
      <c r="E18" s="172">
        <v>6000</v>
      </c>
      <c r="F18" s="172">
        <f>1200+1800+3000</f>
        <v>6000</v>
      </c>
      <c r="G18" s="232">
        <f>+E18-F18</f>
        <v>0</v>
      </c>
      <c r="H18" s="96"/>
    </row>
    <row r="19" spans="1:8" ht="20.25" customHeight="1">
      <c r="A19" s="98"/>
      <c r="B19" s="105"/>
      <c r="C19" s="105"/>
      <c r="D19" s="105"/>
      <c r="E19" s="106"/>
      <c r="F19" s="100"/>
      <c r="G19" s="296">
        <f>SUM(G15:G18)</f>
        <v>4500</v>
      </c>
      <c r="H19" s="96"/>
    </row>
    <row r="20" spans="1:8" ht="12.75" customHeight="1">
      <c r="A20" s="98"/>
      <c r="B20" s="105"/>
      <c r="C20" s="105"/>
      <c r="D20" s="105"/>
      <c r="E20" s="106"/>
      <c r="F20" s="100"/>
      <c r="G20" s="291"/>
      <c r="H20" s="96"/>
    </row>
    <row r="21" spans="1:8" ht="31.5" customHeight="1">
      <c r="A21" s="495" t="s">
        <v>337</v>
      </c>
      <c r="B21" s="495"/>
      <c r="C21" s="495"/>
      <c r="D21" s="495"/>
      <c r="E21" s="495"/>
      <c r="F21" s="495"/>
      <c r="G21" s="495"/>
      <c r="H21" s="96"/>
    </row>
    <row r="22" spans="1:8" ht="14.25" customHeight="1">
      <c r="A22" s="288"/>
      <c r="B22" s="288"/>
      <c r="C22" s="288"/>
      <c r="D22" s="288"/>
      <c r="E22" s="288"/>
      <c r="F22" s="288"/>
      <c r="G22" s="288"/>
      <c r="H22" s="96"/>
    </row>
    <row r="23" spans="1:9" ht="15">
      <c r="A23" s="150" t="s">
        <v>211</v>
      </c>
      <c r="B23" s="97"/>
      <c r="C23" s="97"/>
      <c r="D23" s="97"/>
      <c r="E23" s="97"/>
      <c r="F23" s="97"/>
      <c r="G23" s="231"/>
      <c r="I23" s="141"/>
    </row>
    <row r="24" spans="1:9" ht="25.5">
      <c r="A24" s="193" t="s">
        <v>117</v>
      </c>
      <c r="B24" s="193" t="s">
        <v>118</v>
      </c>
      <c r="C24" s="194" t="s">
        <v>10</v>
      </c>
      <c r="D24" s="193" t="s">
        <v>9</v>
      </c>
      <c r="E24" s="195" t="s">
        <v>119</v>
      </c>
      <c r="F24" s="196" t="s">
        <v>202</v>
      </c>
      <c r="G24" s="196" t="s">
        <v>120</v>
      </c>
      <c r="I24" s="141"/>
    </row>
    <row r="25" spans="1:8" ht="180" customHeight="1">
      <c r="A25" s="171" t="s">
        <v>208</v>
      </c>
      <c r="B25" s="284" t="s">
        <v>209</v>
      </c>
      <c r="C25" s="170" t="s">
        <v>210</v>
      </c>
      <c r="D25" s="171" t="s">
        <v>156</v>
      </c>
      <c r="E25" s="172">
        <v>4000</v>
      </c>
      <c r="F25" s="172">
        <f>1000*4</f>
        <v>4000</v>
      </c>
      <c r="G25" s="232">
        <f>+E25-F25</f>
        <v>0</v>
      </c>
      <c r="H25" s="96"/>
    </row>
    <row r="26" spans="1:9" ht="25.5">
      <c r="A26" s="193" t="s">
        <v>117</v>
      </c>
      <c r="B26" s="193" t="s">
        <v>118</v>
      </c>
      <c r="C26" s="194" t="s">
        <v>10</v>
      </c>
      <c r="D26" s="193" t="s">
        <v>9</v>
      </c>
      <c r="E26" s="195" t="s">
        <v>119</v>
      </c>
      <c r="F26" s="196" t="s">
        <v>202</v>
      </c>
      <c r="G26" s="196" t="s">
        <v>120</v>
      </c>
      <c r="I26" s="141"/>
    </row>
    <row r="27" spans="1:8" ht="127.5" customHeight="1">
      <c r="A27" s="171" t="s">
        <v>234</v>
      </c>
      <c r="B27" s="169" t="s">
        <v>235</v>
      </c>
      <c r="C27" s="170" t="s">
        <v>236</v>
      </c>
      <c r="D27" s="171" t="s">
        <v>262</v>
      </c>
      <c r="E27" s="172">
        <v>14640</v>
      </c>
      <c r="F27" s="172">
        <f>2928+4392+7320</f>
        <v>14640</v>
      </c>
      <c r="G27" s="232">
        <f>+E27-F27</f>
        <v>0</v>
      </c>
      <c r="H27" s="96"/>
    </row>
    <row r="28" spans="1:8" ht="318" customHeight="1">
      <c r="A28" s="171" t="s">
        <v>263</v>
      </c>
      <c r="B28" s="347" t="s">
        <v>264</v>
      </c>
      <c r="C28" s="170" t="s">
        <v>210</v>
      </c>
      <c r="D28" s="171" t="s">
        <v>265</v>
      </c>
      <c r="E28" s="172">
        <v>7000</v>
      </c>
      <c r="F28" s="172">
        <f>3000+1000*3</f>
        <v>6000</v>
      </c>
      <c r="G28" s="232">
        <f>+E28-F28</f>
        <v>1000</v>
      </c>
      <c r="H28" s="96"/>
    </row>
    <row r="29" spans="1:8" ht="20.25" customHeight="1">
      <c r="A29" s="98"/>
      <c r="B29" s="105"/>
      <c r="C29" s="105"/>
      <c r="D29" s="105"/>
      <c r="E29" s="106"/>
      <c r="F29" s="100"/>
      <c r="G29" s="296">
        <f>SUM(G24:G28)</f>
        <v>1000</v>
      </c>
      <c r="H29" s="96"/>
    </row>
    <row r="30" spans="1:8" ht="6" customHeight="1">
      <c r="A30" s="98"/>
      <c r="B30" s="105"/>
      <c r="C30" s="105"/>
      <c r="D30" s="105"/>
      <c r="E30" s="106"/>
      <c r="F30" s="100"/>
      <c r="G30" s="300"/>
      <c r="H30" s="96"/>
    </row>
    <row r="31" spans="1:8" ht="15">
      <c r="A31" s="150" t="s">
        <v>116</v>
      </c>
      <c r="B31" s="97"/>
      <c r="C31" s="97"/>
      <c r="D31" s="97"/>
      <c r="E31" s="97"/>
      <c r="F31" s="97"/>
      <c r="G31" s="231"/>
      <c r="H31" s="96"/>
    </row>
    <row r="32" spans="1:8" ht="25.5">
      <c r="A32" s="193" t="s">
        <v>117</v>
      </c>
      <c r="B32" s="193" t="s">
        <v>118</v>
      </c>
      <c r="C32" s="194" t="s">
        <v>10</v>
      </c>
      <c r="D32" s="193" t="s">
        <v>9</v>
      </c>
      <c r="E32" s="195" t="s">
        <v>119</v>
      </c>
      <c r="F32" s="196" t="s">
        <v>202</v>
      </c>
      <c r="G32" s="196" t="s">
        <v>120</v>
      </c>
      <c r="H32" s="96"/>
    </row>
    <row r="33" spans="1:8" ht="15.75">
      <c r="A33" s="221" t="s">
        <v>251</v>
      </c>
      <c r="B33" s="222"/>
      <c r="C33" s="223"/>
      <c r="D33" s="222"/>
      <c r="E33" s="224"/>
      <c r="F33" s="225"/>
      <c r="G33" s="226"/>
      <c r="H33" s="96"/>
    </row>
    <row r="34" spans="1:8" ht="263.25" customHeight="1">
      <c r="A34" s="171" t="s">
        <v>252</v>
      </c>
      <c r="B34" s="284" t="s">
        <v>253</v>
      </c>
      <c r="C34" s="170" t="s">
        <v>205</v>
      </c>
      <c r="D34" s="171" t="s">
        <v>300</v>
      </c>
      <c r="E34" s="172">
        <v>4000</v>
      </c>
      <c r="F34" s="172">
        <v>4000</v>
      </c>
      <c r="G34" s="232">
        <f>+E34-F34</f>
        <v>0</v>
      </c>
      <c r="H34" s="96"/>
    </row>
    <row r="35" spans="1:8" ht="219.75" customHeight="1">
      <c r="A35" s="171" t="s">
        <v>259</v>
      </c>
      <c r="B35" s="169" t="s">
        <v>260</v>
      </c>
      <c r="C35" s="170" t="s">
        <v>205</v>
      </c>
      <c r="D35" s="290" t="s">
        <v>315</v>
      </c>
      <c r="E35" s="172">
        <v>1000</v>
      </c>
      <c r="F35" s="172">
        <f>400+600</f>
        <v>1000</v>
      </c>
      <c r="G35" s="232">
        <f>+E35-F35</f>
        <v>0</v>
      </c>
      <c r="H35" s="96"/>
    </row>
    <row r="36" spans="1:8" ht="25.5">
      <c r="A36" s="193" t="s">
        <v>117</v>
      </c>
      <c r="B36" s="193" t="s">
        <v>118</v>
      </c>
      <c r="C36" s="194" t="s">
        <v>10</v>
      </c>
      <c r="D36" s="193" t="s">
        <v>9</v>
      </c>
      <c r="E36" s="195" t="s">
        <v>119</v>
      </c>
      <c r="F36" s="196" t="s">
        <v>202</v>
      </c>
      <c r="G36" s="196" t="s">
        <v>120</v>
      </c>
      <c r="H36" s="96"/>
    </row>
    <row r="37" spans="1:8" ht="207" customHeight="1">
      <c r="A37" s="171" t="s">
        <v>283</v>
      </c>
      <c r="B37" s="169" t="s">
        <v>284</v>
      </c>
      <c r="C37" s="170" t="s">
        <v>205</v>
      </c>
      <c r="D37" s="290" t="s">
        <v>301</v>
      </c>
      <c r="E37" s="172">
        <v>25000</v>
      </c>
      <c r="F37" s="172">
        <f>4000+4400+8300</f>
        <v>16700</v>
      </c>
      <c r="G37" s="232">
        <f>+E37-F37</f>
        <v>8300</v>
      </c>
      <c r="H37" s="96"/>
    </row>
    <row r="38" spans="1:8" ht="15.75">
      <c r="A38" s="221" t="s">
        <v>2</v>
      </c>
      <c r="B38" s="222"/>
      <c r="C38" s="223"/>
      <c r="D38" s="222"/>
      <c r="E38" s="224"/>
      <c r="F38" s="225"/>
      <c r="G38" s="226"/>
      <c r="H38" s="96"/>
    </row>
    <row r="39" spans="1:8" ht="126.75" customHeight="1">
      <c r="A39" s="171" t="s">
        <v>291</v>
      </c>
      <c r="B39" s="169" t="s">
        <v>292</v>
      </c>
      <c r="C39" s="170" t="s">
        <v>205</v>
      </c>
      <c r="D39" s="171" t="s">
        <v>302</v>
      </c>
      <c r="E39" s="172">
        <v>12000</v>
      </c>
      <c r="F39" s="172">
        <v>1200</v>
      </c>
      <c r="G39" s="232">
        <f>+E39-F39</f>
        <v>10800</v>
      </c>
      <c r="H39" s="96"/>
    </row>
    <row r="40" spans="1:8" ht="15.75">
      <c r="A40" s="221" t="s">
        <v>5</v>
      </c>
      <c r="B40" s="222"/>
      <c r="C40" s="223"/>
      <c r="D40" s="222"/>
      <c r="E40" s="224"/>
      <c r="F40" s="225"/>
      <c r="G40" s="226"/>
      <c r="H40" s="96"/>
    </row>
    <row r="41" spans="1:8" ht="128.25" customHeight="1">
      <c r="A41" s="171" t="s">
        <v>274</v>
      </c>
      <c r="B41" s="169" t="s">
        <v>275</v>
      </c>
      <c r="C41" s="170" t="s">
        <v>205</v>
      </c>
      <c r="D41" s="171" t="s">
        <v>294</v>
      </c>
      <c r="E41" s="172">
        <v>8000</v>
      </c>
      <c r="F41" s="172">
        <f>2000+6000</f>
        <v>8000</v>
      </c>
      <c r="G41" s="232">
        <f>+E41-F41</f>
        <v>0</v>
      </c>
      <c r="H41" s="96"/>
    </row>
    <row r="42" spans="1:8" ht="152.25" customHeight="1">
      <c r="A42" s="171" t="s">
        <v>290</v>
      </c>
      <c r="B42" s="169" t="s">
        <v>289</v>
      </c>
      <c r="C42" s="170" t="s">
        <v>205</v>
      </c>
      <c r="D42" s="171" t="s">
        <v>368</v>
      </c>
      <c r="E42" s="172">
        <v>6000</v>
      </c>
      <c r="F42" s="172">
        <f>1200+4800</f>
        <v>6000</v>
      </c>
      <c r="G42" s="232">
        <f>+E42-F42</f>
        <v>0</v>
      </c>
      <c r="H42" s="96"/>
    </row>
    <row r="43" spans="1:8" ht="153" customHeight="1">
      <c r="A43" s="171" t="s">
        <v>309</v>
      </c>
      <c r="B43" s="169" t="s">
        <v>310</v>
      </c>
      <c r="C43" s="170" t="s">
        <v>205</v>
      </c>
      <c r="D43" s="171" t="s">
        <v>369</v>
      </c>
      <c r="E43" s="172">
        <v>6000</v>
      </c>
      <c r="F43" s="172">
        <v>0</v>
      </c>
      <c r="G43" s="232">
        <f>+E43-F43</f>
        <v>6000</v>
      </c>
      <c r="H43" s="96"/>
    </row>
    <row r="44" spans="1:8" ht="17.25" customHeight="1">
      <c r="A44" s="98"/>
      <c r="B44" s="105"/>
      <c r="C44" s="105"/>
      <c r="D44" s="105"/>
      <c r="E44" s="106"/>
      <c r="F44" s="100"/>
      <c r="G44" s="296">
        <f>SUM(G34:G43)</f>
        <v>25100</v>
      </c>
      <c r="H44" s="96"/>
    </row>
    <row r="45" spans="1:10" s="97" customFormat="1" ht="9.75" customHeight="1">
      <c r="A45" s="496" t="s">
        <v>0</v>
      </c>
      <c r="B45" s="496"/>
      <c r="C45" s="496"/>
      <c r="D45" s="496"/>
      <c r="E45" s="496"/>
      <c r="F45" s="496"/>
      <c r="G45" s="496"/>
      <c r="I45" s="94"/>
      <c r="J45" s="94"/>
    </row>
    <row r="46" spans="7:10" s="97" customFormat="1" ht="12.75">
      <c r="G46" s="233"/>
      <c r="I46" s="94"/>
      <c r="J46" s="94"/>
    </row>
    <row r="47" spans="7:10" s="97" customFormat="1" ht="12.75">
      <c r="G47" s="233"/>
      <c r="I47" s="94"/>
      <c r="J47" s="94"/>
    </row>
    <row r="48" spans="7:10" s="97" customFormat="1" ht="12.75">
      <c r="G48" s="233"/>
      <c r="I48" s="94"/>
      <c r="J48" s="94"/>
    </row>
    <row r="49" spans="7:10" s="97" customFormat="1" ht="12.75">
      <c r="G49" s="233"/>
      <c r="I49" s="94"/>
      <c r="J49" s="94"/>
    </row>
    <row r="50" spans="7:10" s="97" customFormat="1" ht="12.75">
      <c r="G50" s="233"/>
      <c r="I50" s="94"/>
      <c r="J50" s="94"/>
    </row>
    <row r="51" spans="7:10" s="97" customFormat="1" ht="12.75">
      <c r="G51" s="233"/>
      <c r="I51" s="94"/>
      <c r="J51" s="94"/>
    </row>
    <row r="52" spans="7:10" s="97" customFormat="1" ht="12.75">
      <c r="G52" s="233"/>
      <c r="I52" s="94"/>
      <c r="J52" s="94"/>
    </row>
    <row r="53" spans="7:10" s="97" customFormat="1" ht="12.75">
      <c r="G53" s="233"/>
      <c r="I53" s="94"/>
      <c r="J53" s="94"/>
    </row>
    <row r="54" spans="7:10" s="97" customFormat="1" ht="12.75">
      <c r="G54" s="233"/>
      <c r="I54" s="94"/>
      <c r="J54" s="94"/>
    </row>
    <row r="55" spans="7:10" s="97" customFormat="1" ht="12.75">
      <c r="G55" s="233"/>
      <c r="I55" s="94"/>
      <c r="J55" s="94"/>
    </row>
    <row r="56" spans="7:10" s="97" customFormat="1" ht="12.75">
      <c r="G56" s="233"/>
      <c r="I56" s="94"/>
      <c r="J56" s="94"/>
    </row>
    <row r="57" spans="7:10" s="97" customFormat="1" ht="12.75">
      <c r="G57" s="233"/>
      <c r="I57" s="94"/>
      <c r="J57" s="94"/>
    </row>
    <row r="58" spans="7:10" s="97" customFormat="1" ht="12.75">
      <c r="G58" s="233"/>
      <c r="I58" s="94"/>
      <c r="J58" s="94"/>
    </row>
  </sheetData>
  <sheetProtection/>
  <mergeCells count="5">
    <mergeCell ref="A1:G1"/>
    <mergeCell ref="A3:G3"/>
    <mergeCell ref="A5:G5"/>
    <mergeCell ref="A21:G21"/>
    <mergeCell ref="A45:G45"/>
  </mergeCells>
  <printOptions horizontalCentered="1"/>
  <pageMargins left="0" right="0" top="0.3937007874015748" bottom="0.3937007874015748" header="0" footer="0"/>
  <pageSetup firstPageNumber="10" useFirstPageNumber="1" horizontalDpi="600" verticalDpi="600" orientation="portrait" paperSize="9" scale="78" r:id="rId1"/>
  <headerFooter alignWithMargins="0">
    <oddFooter>&amp;C&amp;"Arial,Normal"&amp;11&amp;K000000&amp;P</oddFooter>
  </headerFooter>
  <rowBreaks count="2" manualBreakCount="2">
    <brk id="25" max="6" man="1"/>
    <brk id="35" max="6" man="1"/>
  </rowBreaks>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A6" sqref="A6"/>
    </sheetView>
  </sheetViews>
  <sheetFormatPr defaultColWidth="11.5546875" defaultRowHeight="15.75"/>
  <cols>
    <col min="1" max="1" width="4.21484375" style="0" bestFit="1" customWidth="1"/>
    <col min="2" max="2" width="31.4453125" style="0" customWidth="1"/>
    <col min="3" max="3" width="9.5546875" style="0" bestFit="1" customWidth="1"/>
    <col min="4" max="4" width="56.3359375" style="0" customWidth="1"/>
    <col min="5" max="5" width="9.6640625" style="0" bestFit="1" customWidth="1"/>
    <col min="6" max="6" width="9.6640625" style="0" customWidth="1"/>
    <col min="7" max="7" width="8.3359375" style="237" bestFit="1" customWidth="1"/>
    <col min="8" max="8" width="6.99609375" style="0" bestFit="1" customWidth="1"/>
    <col min="9" max="9" width="10.88671875" style="0" bestFit="1" customWidth="1"/>
  </cols>
  <sheetData>
    <row r="1" spans="1:7" ht="20.25" customHeight="1">
      <c r="A1" s="152"/>
      <c r="B1" s="126" t="s">
        <v>132</v>
      </c>
      <c r="C1" s="127"/>
      <c r="D1" s="127"/>
      <c r="E1" s="127"/>
      <c r="F1" s="127"/>
      <c r="G1" s="234"/>
    </row>
    <row r="2" spans="1:7" ht="8.25" customHeight="1">
      <c r="A2" s="103"/>
      <c r="B2" s="126"/>
      <c r="C2" s="127"/>
      <c r="D2" s="127"/>
      <c r="E2" s="127"/>
      <c r="F2" s="127"/>
      <c r="G2" s="234"/>
    </row>
    <row r="3" spans="1:7" ht="15.75" customHeight="1">
      <c r="A3" s="101"/>
      <c r="B3" s="497"/>
      <c r="C3" s="507"/>
      <c r="D3" s="507"/>
      <c r="E3" s="507"/>
      <c r="F3" s="507"/>
      <c r="G3" s="507"/>
    </row>
    <row r="4" spans="1:7" ht="51">
      <c r="A4" s="129"/>
      <c r="B4" s="153" t="s">
        <v>212</v>
      </c>
      <c r="C4" s="154" t="s">
        <v>133</v>
      </c>
      <c r="D4" s="154" t="s">
        <v>213</v>
      </c>
      <c r="E4" s="154" t="s">
        <v>134</v>
      </c>
      <c r="F4" s="154" t="s">
        <v>188</v>
      </c>
      <c r="G4" s="154" t="s">
        <v>1</v>
      </c>
    </row>
    <row r="5" spans="1:7" ht="15.75">
      <c r="A5" s="128"/>
      <c r="B5" s="174" t="s">
        <v>136</v>
      </c>
      <c r="C5" s="175"/>
      <c r="D5" s="176"/>
      <c r="E5" s="177"/>
      <c r="F5" s="177"/>
      <c r="G5" s="235"/>
    </row>
    <row r="6" spans="1:7" ht="33" customHeight="1">
      <c r="A6" s="129"/>
      <c r="B6" s="505" t="s">
        <v>135</v>
      </c>
      <c r="C6" s="502">
        <v>6850</v>
      </c>
      <c r="D6" s="180" t="s">
        <v>219</v>
      </c>
      <c r="E6" s="502">
        <v>5000</v>
      </c>
      <c r="F6" s="502">
        <v>1850</v>
      </c>
      <c r="G6" s="502">
        <f>+C6-E6-F6</f>
        <v>0</v>
      </c>
    </row>
    <row r="7" spans="1:7" ht="26.25" customHeight="1">
      <c r="A7" s="129"/>
      <c r="B7" s="506"/>
      <c r="C7" s="504"/>
      <c r="D7" s="186" t="s">
        <v>338</v>
      </c>
      <c r="E7" s="504"/>
      <c r="F7" s="504"/>
      <c r="G7" s="504"/>
    </row>
    <row r="8" spans="1:7" ht="15.75">
      <c r="A8" s="127"/>
      <c r="B8" s="181"/>
      <c r="C8" s="182">
        <f>SUM(C6:C6)</f>
        <v>6850</v>
      </c>
      <c r="D8" s="183"/>
      <c r="E8" s="182">
        <f>SUM(E6:E6)</f>
        <v>5000</v>
      </c>
      <c r="F8" s="182">
        <f>SUM(F6:F6)</f>
        <v>1850</v>
      </c>
      <c r="G8" s="304">
        <f>SUM(G6:G6)</f>
        <v>0</v>
      </c>
    </row>
    <row r="9" spans="1:7" ht="18" customHeight="1">
      <c r="A9" s="131"/>
      <c r="B9" s="155"/>
      <c r="C9" s="156"/>
      <c r="D9" s="156"/>
      <c r="E9" s="156"/>
      <c r="F9" s="156"/>
      <c r="G9" s="156"/>
    </row>
    <row r="10" spans="2:7" ht="51">
      <c r="B10" s="153" t="s">
        <v>212</v>
      </c>
      <c r="C10" s="154" t="s">
        <v>133</v>
      </c>
      <c r="D10" s="154" t="s">
        <v>213</v>
      </c>
      <c r="E10" s="154" t="s">
        <v>134</v>
      </c>
      <c r="F10" s="154" t="s">
        <v>188</v>
      </c>
      <c r="G10" s="154" t="s">
        <v>1</v>
      </c>
    </row>
    <row r="11" spans="2:7" ht="15.75">
      <c r="B11" s="174" t="s">
        <v>137</v>
      </c>
      <c r="C11" s="175"/>
      <c r="D11" s="176"/>
      <c r="E11" s="177"/>
      <c r="F11" s="177"/>
      <c r="G11" s="235"/>
    </row>
    <row r="12" spans="2:7" ht="24.75" customHeight="1">
      <c r="B12" s="499" t="s">
        <v>181</v>
      </c>
      <c r="C12" s="502">
        <v>5000</v>
      </c>
      <c r="D12" s="180" t="s">
        <v>220</v>
      </c>
      <c r="E12" s="502">
        <f>1910*2</f>
        <v>3820</v>
      </c>
      <c r="F12" s="502">
        <v>1180</v>
      </c>
      <c r="G12" s="508">
        <f>+C12-E12-F12</f>
        <v>0</v>
      </c>
    </row>
    <row r="13" spans="2:7" ht="24.75" customHeight="1">
      <c r="B13" s="500"/>
      <c r="C13" s="503"/>
      <c r="D13" s="295" t="s">
        <v>221</v>
      </c>
      <c r="E13" s="503"/>
      <c r="F13" s="503"/>
      <c r="G13" s="509"/>
    </row>
    <row r="14" spans="2:7" ht="24.75" customHeight="1">
      <c r="B14" s="501"/>
      <c r="C14" s="504"/>
      <c r="D14" s="186" t="s">
        <v>339</v>
      </c>
      <c r="E14" s="504"/>
      <c r="F14" s="504"/>
      <c r="G14" s="510"/>
    </row>
    <row r="15" spans="1:7" ht="15.75">
      <c r="A15" s="127"/>
      <c r="B15" s="181"/>
      <c r="C15" s="182">
        <f>SUM(C12)</f>
        <v>5000</v>
      </c>
      <c r="D15" s="183"/>
      <c r="E15" s="182">
        <f>SUM(E12)</f>
        <v>3820</v>
      </c>
      <c r="F15" s="182">
        <f>SUM(F12)</f>
        <v>1180</v>
      </c>
      <c r="G15" s="304">
        <f>SUM(G12)</f>
        <v>0</v>
      </c>
    </row>
    <row r="16" spans="2:7" ht="13.5" customHeight="1">
      <c r="B16" s="184"/>
      <c r="C16" s="184"/>
      <c r="D16" s="184"/>
      <c r="E16" s="184"/>
      <c r="F16" s="184"/>
      <c r="G16" s="236"/>
    </row>
    <row r="17" spans="2:7" ht="15.75">
      <c r="B17" s="126" t="s">
        <v>154</v>
      </c>
      <c r="C17" s="127"/>
      <c r="D17" s="127"/>
      <c r="E17" s="127"/>
      <c r="F17" s="127"/>
      <c r="G17" s="234"/>
    </row>
    <row r="18" spans="2:7" ht="12" customHeight="1">
      <c r="B18" s="126"/>
      <c r="C18" s="127"/>
      <c r="D18" s="127"/>
      <c r="E18" s="127"/>
      <c r="F18" s="127"/>
      <c r="G18" s="234"/>
    </row>
    <row r="19" spans="2:7" ht="39.75" customHeight="1">
      <c r="B19" s="497" t="s">
        <v>166</v>
      </c>
      <c r="C19" s="497"/>
      <c r="D19" s="497"/>
      <c r="E19" s="497"/>
      <c r="F19" s="497"/>
      <c r="G19" s="498"/>
    </row>
    <row r="20" spans="2:7" ht="12" customHeight="1">
      <c r="B20" s="130"/>
      <c r="C20" s="130"/>
      <c r="D20" s="130"/>
      <c r="E20" s="130"/>
      <c r="F20" s="130"/>
      <c r="G20" s="299"/>
    </row>
    <row r="21" spans="2:7" ht="7.5" customHeight="1">
      <c r="B21" s="130"/>
      <c r="C21" s="151"/>
      <c r="D21" s="151"/>
      <c r="E21" s="151"/>
      <c r="F21" s="151"/>
      <c r="G21" s="199"/>
    </row>
    <row r="22" spans="2:7" ht="51">
      <c r="B22" s="153" t="s">
        <v>14</v>
      </c>
      <c r="C22" s="154" t="s">
        <v>133</v>
      </c>
      <c r="D22" s="154" t="s">
        <v>213</v>
      </c>
      <c r="E22" s="154" t="s">
        <v>134</v>
      </c>
      <c r="F22" s="154" t="s">
        <v>188</v>
      </c>
      <c r="G22" s="154" t="s">
        <v>1</v>
      </c>
    </row>
    <row r="23" spans="2:7" ht="15.75">
      <c r="B23" s="174" t="s">
        <v>136</v>
      </c>
      <c r="C23" s="175"/>
      <c r="D23" s="176"/>
      <c r="E23" s="177"/>
      <c r="F23" s="177"/>
      <c r="G23" s="235"/>
    </row>
    <row r="24" spans="2:7" ht="28.5" customHeight="1">
      <c r="B24" s="178" t="s">
        <v>155</v>
      </c>
      <c r="C24" s="179">
        <v>11500</v>
      </c>
      <c r="D24" s="197" t="s">
        <v>222</v>
      </c>
      <c r="E24" s="179">
        <v>8000</v>
      </c>
      <c r="F24" s="179">
        <v>0</v>
      </c>
      <c r="G24" s="179">
        <f>+C24-E24-F24</f>
        <v>3500</v>
      </c>
    </row>
    <row r="25" spans="2:7" ht="15.75">
      <c r="B25" s="181"/>
      <c r="C25" s="182">
        <f>SUM(C24:C24)</f>
        <v>11500</v>
      </c>
      <c r="D25" s="183"/>
      <c r="E25" s="182">
        <f>SUM(E24:E24)</f>
        <v>8000</v>
      </c>
      <c r="F25" s="182">
        <f>SUM(F24)</f>
        <v>0</v>
      </c>
      <c r="G25" s="304">
        <f>SUM(G24:G24)</f>
        <v>3500</v>
      </c>
    </row>
    <row r="26" ht="15.75">
      <c r="G26" s="298"/>
    </row>
  </sheetData>
  <sheetProtection/>
  <mergeCells count="12">
    <mergeCell ref="B3:G3"/>
    <mergeCell ref="E12:E14"/>
    <mergeCell ref="G12:G14"/>
    <mergeCell ref="B19:G19"/>
    <mergeCell ref="B12:B14"/>
    <mergeCell ref="C12:C14"/>
    <mergeCell ref="F12:F14"/>
    <mergeCell ref="B6:B7"/>
    <mergeCell ref="C6:C7"/>
    <mergeCell ref="E6:E7"/>
    <mergeCell ref="F6:F7"/>
    <mergeCell ref="G6:G7"/>
  </mergeCells>
  <printOptions horizontalCentered="1"/>
  <pageMargins left="0.1968503937007874" right="0.1968503937007874" top="0.51" bottom="0.11811023622047245" header="0.1968503937007874" footer="0.1968503937007874"/>
  <pageSetup firstPageNumber="13" useFirstPageNumber="1" horizontalDpi="600" verticalDpi="600" orientation="landscape" paperSize="9" scale="80" r:id="rId1"/>
  <headerFooter alignWithMargins="0">
    <oddFooter>&amp;C&amp;"Arial,Normal"&amp;11&amp;K000000&amp;P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6" sqref="A6"/>
    </sheetView>
  </sheetViews>
  <sheetFormatPr defaultColWidth="11.5546875" defaultRowHeight="15.75"/>
  <cols>
    <col min="1" max="1" width="4.21484375" style="0" bestFit="1" customWidth="1"/>
    <col min="2" max="2" width="31.4453125" style="0" customWidth="1"/>
    <col min="3" max="3" width="9.5546875" style="0" bestFit="1" customWidth="1"/>
    <col min="4" max="4" width="56.3359375" style="0" customWidth="1"/>
    <col min="5" max="5" width="9.6640625" style="0" bestFit="1" customWidth="1"/>
    <col min="6" max="6" width="8.3359375" style="0" bestFit="1" customWidth="1"/>
    <col min="7" max="7" width="6.99609375" style="0" bestFit="1" customWidth="1"/>
    <col min="8" max="8" width="9.4453125" style="0" bestFit="1" customWidth="1"/>
  </cols>
  <sheetData>
    <row r="1" spans="1:6" ht="20.25" customHeight="1">
      <c r="A1" s="152"/>
      <c r="B1" s="126" t="s">
        <v>196</v>
      </c>
      <c r="C1" s="127"/>
      <c r="D1" s="127"/>
      <c r="E1" s="127"/>
      <c r="F1" s="127"/>
    </row>
    <row r="2" spans="1:6" ht="5.25" customHeight="1">
      <c r="A2" s="152"/>
      <c r="B2" s="126"/>
      <c r="C2" s="127"/>
      <c r="D2" s="127"/>
      <c r="E2" s="127"/>
      <c r="F2" s="127"/>
    </row>
    <row r="3" spans="1:6" ht="57" customHeight="1">
      <c r="A3" s="285"/>
      <c r="B3" s="497" t="s">
        <v>340</v>
      </c>
      <c r="C3" s="511"/>
      <c r="D3" s="511"/>
      <c r="E3" s="511"/>
      <c r="F3" s="511"/>
    </row>
    <row r="4" spans="1:6" ht="7.5" customHeight="1">
      <c r="A4" s="285"/>
      <c r="B4" s="130"/>
      <c r="C4" s="151"/>
      <c r="D4" s="151"/>
      <c r="E4" s="151"/>
      <c r="F4" s="151"/>
    </row>
    <row r="5" spans="1:6" ht="51">
      <c r="A5" s="129"/>
      <c r="B5" s="153" t="s">
        <v>14</v>
      </c>
      <c r="C5" s="154" t="s">
        <v>186</v>
      </c>
      <c r="D5" s="154" t="s">
        <v>187</v>
      </c>
      <c r="E5" s="154" t="s">
        <v>188</v>
      </c>
      <c r="F5" s="154" t="s">
        <v>1</v>
      </c>
    </row>
    <row r="6" spans="1:6" ht="15.75">
      <c r="A6" s="128"/>
      <c r="B6" s="174" t="s">
        <v>189</v>
      </c>
      <c r="C6" s="175"/>
      <c r="D6" s="176"/>
      <c r="E6" s="177"/>
      <c r="F6" s="286"/>
    </row>
    <row r="7" spans="1:6" ht="54.75" customHeight="1">
      <c r="A7" s="129"/>
      <c r="B7" s="443" t="s">
        <v>370</v>
      </c>
      <c r="C7" s="179">
        <v>40000</v>
      </c>
      <c r="D7" s="197"/>
      <c r="E7" s="179">
        <v>0</v>
      </c>
      <c r="F7" s="179">
        <f>+C7-E7</f>
        <v>40000</v>
      </c>
    </row>
    <row r="8" spans="1:6" ht="15.75">
      <c r="A8" s="127"/>
      <c r="B8" s="181"/>
      <c r="C8" s="182">
        <f>SUM(C3:C7)</f>
        <v>40000</v>
      </c>
      <c r="D8" s="183"/>
      <c r="E8" s="182">
        <f>SUM(E3:E7)</f>
        <v>0</v>
      </c>
      <c r="F8" s="304">
        <f>SUM(F3:F7)</f>
        <v>40000</v>
      </c>
    </row>
    <row r="9" spans="1:6" ht="12" customHeight="1">
      <c r="A9" s="285"/>
      <c r="B9" s="130"/>
      <c r="C9" s="151"/>
      <c r="D9" s="151"/>
      <c r="E9" s="151"/>
      <c r="F9" s="151"/>
    </row>
    <row r="10" spans="1:6" ht="51">
      <c r="A10" s="129"/>
      <c r="B10" s="153" t="s">
        <v>14</v>
      </c>
      <c r="C10" s="154" t="s">
        <v>186</v>
      </c>
      <c r="D10" s="154" t="s">
        <v>187</v>
      </c>
      <c r="E10" s="154" t="s">
        <v>188</v>
      </c>
      <c r="F10" s="154" t="s">
        <v>1</v>
      </c>
    </row>
    <row r="11" spans="1:6" ht="15.75">
      <c r="A11" s="128"/>
      <c r="B11" s="293" t="s">
        <v>136</v>
      </c>
      <c r="C11" s="176"/>
      <c r="D11" s="176"/>
      <c r="E11" s="177"/>
      <c r="F11" s="294"/>
    </row>
    <row r="12" spans="1:7" ht="19.5" customHeight="1">
      <c r="A12" s="129"/>
      <c r="B12" s="517" t="s">
        <v>195</v>
      </c>
      <c r="C12" s="502">
        <v>2700</v>
      </c>
      <c r="D12" s="180" t="s">
        <v>214</v>
      </c>
      <c r="E12" s="502">
        <f>105+140+395+362+345+1353</f>
        <v>2700</v>
      </c>
      <c r="F12" s="502">
        <f>+C12-E12</f>
        <v>0</v>
      </c>
      <c r="G12" s="297"/>
    </row>
    <row r="13" spans="1:7" ht="19.5" customHeight="1">
      <c r="A13" s="129"/>
      <c r="B13" s="518"/>
      <c r="C13" s="503"/>
      <c r="D13" s="295" t="s">
        <v>231</v>
      </c>
      <c r="E13" s="503"/>
      <c r="F13" s="503"/>
      <c r="G13" s="297"/>
    </row>
    <row r="14" spans="1:7" ht="19.5" customHeight="1">
      <c r="A14" s="129"/>
      <c r="B14" s="518"/>
      <c r="C14" s="503"/>
      <c r="D14" s="295" t="s">
        <v>240</v>
      </c>
      <c r="E14" s="503"/>
      <c r="F14" s="503"/>
      <c r="G14" s="297"/>
    </row>
    <row r="15" spans="1:7" ht="19.5" customHeight="1">
      <c r="A15" s="129"/>
      <c r="B15" s="518"/>
      <c r="C15" s="503"/>
      <c r="D15" s="295" t="s">
        <v>279</v>
      </c>
      <c r="E15" s="503"/>
      <c r="F15" s="503"/>
      <c r="G15" s="297"/>
    </row>
    <row r="16" spans="1:7" ht="19.5" customHeight="1">
      <c r="A16" s="129"/>
      <c r="B16" s="518"/>
      <c r="C16" s="503"/>
      <c r="D16" s="295" t="s">
        <v>278</v>
      </c>
      <c r="E16" s="503"/>
      <c r="F16" s="503"/>
      <c r="G16" s="297"/>
    </row>
    <row r="17" spans="1:6" ht="19.5" customHeight="1">
      <c r="A17" s="129"/>
      <c r="B17" s="519"/>
      <c r="C17" s="504"/>
      <c r="D17" s="295" t="s">
        <v>285</v>
      </c>
      <c r="E17" s="504"/>
      <c r="F17" s="504"/>
    </row>
    <row r="18" spans="1:6" ht="22.5" customHeight="1">
      <c r="A18" s="129"/>
      <c r="B18" s="517" t="s">
        <v>190</v>
      </c>
      <c r="C18" s="514">
        <v>15750</v>
      </c>
      <c r="D18" s="180" t="s">
        <v>268</v>
      </c>
      <c r="E18" s="508">
        <f>15000+741.44+8.56</f>
        <v>15750</v>
      </c>
      <c r="F18" s="502">
        <f>+C18-E18</f>
        <v>0</v>
      </c>
    </row>
    <row r="19" spans="1:6" ht="22.5" customHeight="1">
      <c r="A19" s="129"/>
      <c r="B19" s="518"/>
      <c r="C19" s="515"/>
      <c r="D19" s="295" t="s">
        <v>342</v>
      </c>
      <c r="E19" s="509"/>
      <c r="F19" s="503"/>
    </row>
    <row r="20" spans="1:6" ht="22.5" customHeight="1">
      <c r="A20" s="129"/>
      <c r="B20" s="520"/>
      <c r="C20" s="516"/>
      <c r="D20" s="186" t="s">
        <v>341</v>
      </c>
      <c r="E20" s="521"/>
      <c r="F20" s="504"/>
    </row>
    <row r="21" spans="1:6" ht="15.75">
      <c r="A21" s="127"/>
      <c r="B21" s="181"/>
      <c r="C21" s="182">
        <f>SUM(C12:C18)</f>
        <v>18450</v>
      </c>
      <c r="D21" s="183"/>
      <c r="E21" s="182">
        <f>SUM(E12:E18)</f>
        <v>18450</v>
      </c>
      <c r="F21" s="304">
        <f>SUM(F12:F18)</f>
        <v>0</v>
      </c>
    </row>
    <row r="22" spans="1:6" ht="9" customHeight="1">
      <c r="A22" s="131"/>
      <c r="B22" s="155"/>
      <c r="C22" s="156"/>
      <c r="D22" s="156"/>
      <c r="E22" s="156"/>
      <c r="F22" s="156"/>
    </row>
    <row r="23" spans="2:7" ht="51">
      <c r="B23" s="153" t="s">
        <v>14</v>
      </c>
      <c r="C23" s="154" t="s">
        <v>186</v>
      </c>
      <c r="D23" s="154" t="s">
        <v>187</v>
      </c>
      <c r="E23" s="154" t="s">
        <v>188</v>
      </c>
      <c r="F23" s="154" t="s">
        <v>1</v>
      </c>
      <c r="G23" s="297"/>
    </row>
    <row r="24" spans="2:7" ht="12" customHeight="1">
      <c r="B24" s="301"/>
      <c r="C24" s="302"/>
      <c r="D24" s="302"/>
      <c r="E24" s="302"/>
      <c r="F24" s="303"/>
      <c r="G24" s="297"/>
    </row>
    <row r="25" spans="2:6" ht="15.75">
      <c r="B25" s="174" t="s">
        <v>137</v>
      </c>
      <c r="C25" s="175"/>
      <c r="D25" s="176"/>
      <c r="E25" s="177"/>
      <c r="F25" s="286"/>
    </row>
    <row r="26" spans="2:6" ht="24.75" customHeight="1">
      <c r="B26" s="505" t="s">
        <v>191</v>
      </c>
      <c r="C26" s="502">
        <v>7500</v>
      </c>
      <c r="D26" s="180" t="s">
        <v>293</v>
      </c>
      <c r="E26" s="502">
        <f>6240+1260</f>
        <v>7500</v>
      </c>
      <c r="F26" s="502">
        <f>+C26-E26</f>
        <v>0</v>
      </c>
    </row>
    <row r="27" spans="1:6" ht="24.75" customHeight="1">
      <c r="A27" s="129"/>
      <c r="B27" s="506"/>
      <c r="C27" s="504"/>
      <c r="D27" s="295" t="s">
        <v>343</v>
      </c>
      <c r="E27" s="504"/>
      <c r="F27" s="504"/>
    </row>
    <row r="28" spans="2:6" ht="33" customHeight="1">
      <c r="B28" s="505" t="s">
        <v>192</v>
      </c>
      <c r="C28" s="514">
        <v>16000</v>
      </c>
      <c r="D28" s="180" t="s">
        <v>215</v>
      </c>
      <c r="E28" s="502">
        <f>15000+1000</f>
        <v>16000</v>
      </c>
      <c r="F28" s="502">
        <f>+C28-E28</f>
        <v>0</v>
      </c>
    </row>
    <row r="29" spans="1:6" ht="26.25" customHeight="1">
      <c r="A29" s="129"/>
      <c r="B29" s="506"/>
      <c r="C29" s="516"/>
      <c r="D29" s="186" t="s">
        <v>344</v>
      </c>
      <c r="E29" s="504"/>
      <c r="F29" s="504"/>
    </row>
    <row r="30" spans="2:6" ht="21" customHeight="1">
      <c r="B30" s="512" t="s">
        <v>193</v>
      </c>
      <c r="C30" s="502">
        <v>2233</v>
      </c>
      <c r="D30" s="295" t="s">
        <v>250</v>
      </c>
      <c r="E30" s="502">
        <f>450-450+2233</f>
        <v>2233</v>
      </c>
      <c r="F30" s="502">
        <f>+C30-E30</f>
        <v>0</v>
      </c>
    </row>
    <row r="31" spans="2:6" ht="21" customHeight="1">
      <c r="B31" s="512"/>
      <c r="C31" s="503"/>
      <c r="D31" s="295" t="s">
        <v>276</v>
      </c>
      <c r="E31" s="503"/>
      <c r="F31" s="503"/>
    </row>
    <row r="32" spans="2:6" ht="21" customHeight="1">
      <c r="B32" s="513"/>
      <c r="C32" s="504"/>
      <c r="D32" s="295" t="s">
        <v>277</v>
      </c>
      <c r="E32" s="504"/>
      <c r="F32" s="504"/>
    </row>
    <row r="33" spans="2:6" ht="21" customHeight="1">
      <c r="B33" s="512" t="s">
        <v>194</v>
      </c>
      <c r="C33" s="514">
        <f>11506.27+1415</f>
        <v>12921.27</v>
      </c>
      <c r="D33" s="180" t="s">
        <v>216</v>
      </c>
      <c r="E33" s="502">
        <f>6000+1575+1166.51+1475.81+1745+958.95</f>
        <v>12921.27</v>
      </c>
      <c r="F33" s="502">
        <f>+C33-E33</f>
        <v>0</v>
      </c>
    </row>
    <row r="34" spans="2:7" ht="21" customHeight="1">
      <c r="B34" s="512"/>
      <c r="C34" s="515"/>
      <c r="D34" s="295" t="s">
        <v>217</v>
      </c>
      <c r="E34" s="503"/>
      <c r="F34" s="503"/>
      <c r="G34" s="297"/>
    </row>
    <row r="35" spans="2:7" ht="30" customHeight="1">
      <c r="B35" s="512"/>
      <c r="C35" s="515"/>
      <c r="D35" s="295" t="s">
        <v>239</v>
      </c>
      <c r="E35" s="503"/>
      <c r="F35" s="503"/>
      <c r="G35" s="297"/>
    </row>
    <row r="36" spans="2:7" ht="20.25" customHeight="1">
      <c r="B36" s="512"/>
      <c r="C36" s="515"/>
      <c r="D36" s="295" t="s">
        <v>298</v>
      </c>
      <c r="E36" s="503"/>
      <c r="F36" s="503"/>
      <c r="G36" s="297"/>
    </row>
    <row r="37" spans="2:6" ht="20.25" customHeight="1">
      <c r="B37" s="513"/>
      <c r="C37" s="516"/>
      <c r="D37" s="186" t="s">
        <v>311</v>
      </c>
      <c r="E37" s="504"/>
      <c r="F37" s="504"/>
    </row>
    <row r="38" spans="2:8" ht="15.75">
      <c r="B38" s="181"/>
      <c r="C38" s="182">
        <f>SUM(C26:C33)</f>
        <v>38654.270000000004</v>
      </c>
      <c r="D38" s="183"/>
      <c r="E38" s="182">
        <f>SUM(E26:E33)</f>
        <v>38654.270000000004</v>
      </c>
      <c r="F38" s="304">
        <f>SUM(F26:F33)</f>
        <v>0</v>
      </c>
      <c r="H38" s="287">
        <f>+F38+F21+F8</f>
        <v>40000</v>
      </c>
    </row>
    <row r="39" spans="2:8" ht="15.75">
      <c r="B39" s="184"/>
      <c r="C39" s="184"/>
      <c r="D39" s="184"/>
      <c r="E39" s="184"/>
      <c r="F39" s="184"/>
      <c r="H39">
        <f>+H38-'[1]Gastos'!$AK$898</f>
        <v>0</v>
      </c>
    </row>
    <row r="40" spans="2:6" ht="15.75">
      <c r="B40" s="184"/>
      <c r="C40" s="184"/>
      <c r="D40" s="184"/>
      <c r="E40" s="184"/>
      <c r="F40" s="184"/>
    </row>
  </sheetData>
  <sheetProtection/>
  <mergeCells count="25">
    <mergeCell ref="E12:E17"/>
    <mergeCell ref="B18:B20"/>
    <mergeCell ref="C18:C20"/>
    <mergeCell ref="E18:E20"/>
    <mergeCell ref="F12:F17"/>
    <mergeCell ref="C12:C17"/>
    <mergeCell ref="B28:B29"/>
    <mergeCell ref="C28:C29"/>
    <mergeCell ref="E28:E29"/>
    <mergeCell ref="F28:F29"/>
    <mergeCell ref="F18:F20"/>
    <mergeCell ref="B26:B27"/>
    <mergeCell ref="C26:C27"/>
    <mergeCell ref="E26:E27"/>
    <mergeCell ref="F26:F27"/>
    <mergeCell ref="B3:F3"/>
    <mergeCell ref="B33:B37"/>
    <mergeCell ref="C33:C37"/>
    <mergeCell ref="E33:E37"/>
    <mergeCell ref="F33:F37"/>
    <mergeCell ref="B12:B17"/>
    <mergeCell ref="C30:C32"/>
    <mergeCell ref="B30:B32"/>
    <mergeCell ref="E30:E32"/>
    <mergeCell ref="F30:F32"/>
  </mergeCells>
  <printOptions horizontalCentered="1" verticalCentered="1"/>
  <pageMargins left="0.1968503937007874" right="0.1968503937007874" top="0.1968503937007874" bottom="0.11811023622047245" header="0.1968503937007874" footer="0.1968503937007874"/>
  <pageSetup firstPageNumber="14" useFirstPageNumber="1" fitToHeight="1" fitToWidth="1" horizontalDpi="600" verticalDpi="600" orientation="landscape" paperSize="9" scale="67" r:id="rId1"/>
  <headerFooter alignWithMargins="0">
    <oddFooter>&amp;C&amp;"Arial,Normal"&amp;11&amp;K000000&amp;P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A6" sqref="A6"/>
    </sheetView>
  </sheetViews>
  <sheetFormatPr defaultColWidth="11.5546875" defaultRowHeight="15.75"/>
  <cols>
    <col min="1" max="1" width="4.21484375" style="0" bestFit="1" customWidth="1"/>
    <col min="2" max="2" width="31.4453125" style="0" customWidth="1"/>
    <col min="3" max="3" width="9.5546875" style="0" bestFit="1" customWidth="1"/>
    <col min="4" max="4" width="56.3359375" style="0" customWidth="1"/>
    <col min="5" max="5" width="12.5546875" style="0" customWidth="1"/>
    <col min="6" max="6" width="8.3359375" style="0" bestFit="1" customWidth="1"/>
    <col min="7" max="7" width="6.99609375" style="0" bestFit="1" customWidth="1"/>
    <col min="8" max="8" width="9.4453125" style="0" bestFit="1" customWidth="1"/>
  </cols>
  <sheetData>
    <row r="1" spans="1:6" ht="20.25" customHeight="1">
      <c r="A1" s="152"/>
      <c r="B1" s="126" t="s">
        <v>345</v>
      </c>
      <c r="C1" s="127"/>
      <c r="D1" s="127"/>
      <c r="E1" s="127"/>
      <c r="F1" s="127"/>
    </row>
    <row r="2" spans="1:6" ht="5.25" customHeight="1">
      <c r="A2" s="152"/>
      <c r="B2" s="126"/>
      <c r="C2" s="127"/>
      <c r="D2" s="127"/>
      <c r="E2" s="127"/>
      <c r="F2" s="127"/>
    </row>
    <row r="3" spans="1:6" ht="51.75" customHeight="1">
      <c r="A3" s="285"/>
      <c r="B3" s="497" t="s">
        <v>346</v>
      </c>
      <c r="C3" s="511"/>
      <c r="D3" s="511"/>
      <c r="E3" s="511"/>
      <c r="F3" s="511"/>
    </row>
    <row r="4" spans="1:6" ht="12" customHeight="1">
      <c r="A4" s="285"/>
      <c r="B4" s="130"/>
      <c r="C4" s="151"/>
      <c r="D4" s="151"/>
      <c r="E4" s="151"/>
      <c r="F4" s="151"/>
    </row>
    <row r="5" spans="1:6" ht="42.75" customHeight="1">
      <c r="A5" s="129"/>
      <c r="B5" s="430" t="s">
        <v>14</v>
      </c>
      <c r="C5" s="431" t="s">
        <v>347</v>
      </c>
      <c r="D5" s="431" t="s">
        <v>348</v>
      </c>
      <c r="E5" s="431" t="s">
        <v>360</v>
      </c>
      <c r="F5" s="431" t="s">
        <v>1</v>
      </c>
    </row>
    <row r="6" spans="1:6" ht="15.75">
      <c r="A6" s="128"/>
      <c r="B6" s="444" t="s">
        <v>189</v>
      </c>
      <c r="C6" s="445"/>
      <c r="D6" s="446"/>
      <c r="E6" s="447"/>
      <c r="F6" s="448"/>
    </row>
    <row r="7" spans="1:6" ht="54" customHeight="1">
      <c r="A7" s="129"/>
      <c r="B7" s="443" t="s">
        <v>370</v>
      </c>
      <c r="C7" s="179">
        <v>24269</v>
      </c>
      <c r="D7" s="433"/>
      <c r="E7" s="179">
        <v>0</v>
      </c>
      <c r="F7" s="179">
        <f>+C7-E7</f>
        <v>24269</v>
      </c>
    </row>
    <row r="8" spans="1:6" ht="27.75" customHeight="1">
      <c r="A8" s="129"/>
      <c r="B8" s="429" t="s">
        <v>349</v>
      </c>
      <c r="C8" s="179">
        <v>7200</v>
      </c>
      <c r="D8" s="433"/>
      <c r="E8" s="179">
        <v>0</v>
      </c>
      <c r="F8" s="179">
        <f>+C8-E8</f>
        <v>7200</v>
      </c>
    </row>
    <row r="9" spans="1:6" ht="15.75">
      <c r="A9" s="127"/>
      <c r="B9" s="434"/>
      <c r="C9" s="435">
        <f>SUM(C7:C8)</f>
        <v>31469</v>
      </c>
      <c r="D9" s="183"/>
      <c r="E9" s="435">
        <f>SUM(E7:E8)</f>
        <v>0</v>
      </c>
      <c r="F9" s="435">
        <f>SUM(F7:F8)</f>
        <v>31469</v>
      </c>
    </row>
    <row r="10" spans="1:6" ht="12" customHeight="1">
      <c r="A10" s="285"/>
      <c r="B10" s="436"/>
      <c r="C10" s="424"/>
      <c r="D10" s="424"/>
      <c r="E10" s="424"/>
      <c r="F10" s="424"/>
    </row>
    <row r="11" spans="1:6" ht="42.75" customHeight="1">
      <c r="A11" s="129"/>
      <c r="B11" s="430" t="s">
        <v>14</v>
      </c>
      <c r="C11" s="431" t="str">
        <f>+C5</f>
        <v>Monto reservado al cierre 2012</v>
      </c>
      <c r="D11" s="431" t="str">
        <f>+D5</f>
        <v>Afectación del crédito en 2013</v>
      </c>
      <c r="E11" s="431" t="str">
        <f>+E5</f>
        <v>Monto comprometido/ utilizado en 2013</v>
      </c>
      <c r="F11" s="431" t="s">
        <v>1</v>
      </c>
    </row>
    <row r="12" spans="1:6" ht="15.75">
      <c r="A12" s="128"/>
      <c r="B12" s="449" t="s">
        <v>136</v>
      </c>
      <c r="C12" s="446"/>
      <c r="D12" s="446"/>
      <c r="E12" s="447"/>
      <c r="F12" s="450"/>
    </row>
    <row r="13" spans="1:7" ht="42.75" customHeight="1">
      <c r="A13" s="129"/>
      <c r="B13" s="443" t="s">
        <v>350</v>
      </c>
      <c r="C13" s="425">
        <v>9125</v>
      </c>
      <c r="D13" s="433"/>
      <c r="E13" s="425">
        <v>0</v>
      </c>
      <c r="F13" s="425">
        <f aca="true" t="shared" si="0" ref="F13:F18">+C13-E13</f>
        <v>9125</v>
      </c>
      <c r="G13" s="297"/>
    </row>
    <row r="14" spans="1:7" ht="42.75" customHeight="1">
      <c r="A14" s="129"/>
      <c r="B14" s="443" t="s">
        <v>351</v>
      </c>
      <c r="C14" s="427">
        <v>9125</v>
      </c>
      <c r="D14" s="433"/>
      <c r="E14" s="426">
        <v>0</v>
      </c>
      <c r="F14" s="425">
        <f t="shared" si="0"/>
        <v>9125</v>
      </c>
      <c r="G14" s="297"/>
    </row>
    <row r="15" spans="1:7" ht="30.75" customHeight="1">
      <c r="A15" s="129"/>
      <c r="B15" s="443" t="s">
        <v>352</v>
      </c>
      <c r="C15" s="427">
        <v>17400</v>
      </c>
      <c r="D15" s="433"/>
      <c r="E15" s="426">
        <v>0</v>
      </c>
      <c r="F15" s="425">
        <f t="shared" si="0"/>
        <v>17400</v>
      </c>
      <c r="G15" s="297"/>
    </row>
    <row r="16" spans="1:7" ht="44.25" customHeight="1">
      <c r="A16" s="129"/>
      <c r="B16" s="443" t="s">
        <v>353</v>
      </c>
      <c r="C16" s="427">
        <v>12500</v>
      </c>
      <c r="D16" s="433"/>
      <c r="E16" s="426">
        <v>0</v>
      </c>
      <c r="F16" s="425">
        <f t="shared" si="0"/>
        <v>12500</v>
      </c>
      <c r="G16" s="297"/>
    </row>
    <row r="17" spans="1:7" ht="30.75" customHeight="1">
      <c r="A17" s="129"/>
      <c r="B17" s="432" t="s">
        <v>354</v>
      </c>
      <c r="C17" s="427">
        <v>498.9799999999999</v>
      </c>
      <c r="D17" s="433"/>
      <c r="E17" s="426">
        <v>0</v>
      </c>
      <c r="F17" s="425">
        <f t="shared" si="0"/>
        <v>498.9799999999999</v>
      </c>
      <c r="G17" s="297"/>
    </row>
    <row r="18" spans="1:6" ht="29.25" customHeight="1">
      <c r="A18" s="129"/>
      <c r="B18" s="432" t="s">
        <v>355</v>
      </c>
      <c r="C18" s="179">
        <v>1717.8000000000002</v>
      </c>
      <c r="D18" s="433"/>
      <c r="E18" s="179">
        <v>0</v>
      </c>
      <c r="F18" s="179">
        <f t="shared" si="0"/>
        <v>1717.8000000000002</v>
      </c>
    </row>
    <row r="19" spans="1:6" ht="15.75">
      <c r="A19" s="127"/>
      <c r="B19" s="434"/>
      <c r="C19" s="435">
        <f>SUM(C13:C18)</f>
        <v>50366.780000000006</v>
      </c>
      <c r="D19" s="183"/>
      <c r="E19" s="435">
        <f>SUM(E13:E18)</f>
        <v>0</v>
      </c>
      <c r="F19" s="435">
        <f>SUM(F13:F18)</f>
        <v>50366.780000000006</v>
      </c>
    </row>
    <row r="20" spans="1:6" ht="9" customHeight="1">
      <c r="A20" s="131"/>
      <c r="B20" s="437"/>
      <c r="C20" s="438"/>
      <c r="D20" s="438"/>
      <c r="E20" s="438"/>
      <c r="F20" s="438"/>
    </row>
    <row r="21" spans="2:7" ht="45" customHeight="1">
      <c r="B21" s="430" t="s">
        <v>14</v>
      </c>
      <c r="C21" s="431" t="str">
        <f>+C5</f>
        <v>Monto reservado al cierre 2012</v>
      </c>
      <c r="D21" s="431" t="str">
        <f>+D5</f>
        <v>Afectación del crédito en 2013</v>
      </c>
      <c r="E21" s="431" t="str">
        <f>+E5</f>
        <v>Monto comprometido/ utilizado en 2013</v>
      </c>
      <c r="F21" s="431" t="s">
        <v>1</v>
      </c>
      <c r="G21" s="297"/>
    </row>
    <row r="22" spans="2:7" ht="12" customHeight="1">
      <c r="B22" s="439"/>
      <c r="C22" s="440"/>
      <c r="D22" s="440"/>
      <c r="E22" s="440"/>
      <c r="F22" s="441"/>
      <c r="G22" s="297"/>
    </row>
    <row r="23" spans="2:6" ht="15.75">
      <c r="B23" s="444" t="s">
        <v>137</v>
      </c>
      <c r="C23" s="445"/>
      <c r="D23" s="446"/>
      <c r="E23" s="447"/>
      <c r="F23" s="448"/>
    </row>
    <row r="24" spans="2:6" ht="42" customHeight="1">
      <c r="B24" s="443" t="s">
        <v>359</v>
      </c>
      <c r="C24" s="179">
        <v>2160</v>
      </c>
      <c r="D24" s="433"/>
      <c r="E24" s="179">
        <v>0</v>
      </c>
      <c r="F24" s="179">
        <f>+C24-E24</f>
        <v>2160</v>
      </c>
    </row>
    <row r="25" spans="2:6" ht="29.25" customHeight="1">
      <c r="B25" s="443" t="s">
        <v>356</v>
      </c>
      <c r="C25" s="179">
        <v>17680</v>
      </c>
      <c r="D25" s="433"/>
      <c r="E25" s="179">
        <v>0</v>
      </c>
      <c r="F25" s="179">
        <f>+C25-E25</f>
        <v>17680</v>
      </c>
    </row>
    <row r="26" spans="2:6" ht="43.5" customHeight="1">
      <c r="B26" s="443" t="s">
        <v>357</v>
      </c>
      <c r="C26" s="179">
        <v>18000</v>
      </c>
      <c r="D26" s="433"/>
      <c r="E26" s="179">
        <v>0</v>
      </c>
      <c r="F26" s="179">
        <f>+C26-E26</f>
        <v>18000</v>
      </c>
    </row>
    <row r="27" spans="2:6" ht="55.5" customHeight="1">
      <c r="B27" s="443" t="s">
        <v>358</v>
      </c>
      <c r="C27" s="179">
        <v>6894.95</v>
      </c>
      <c r="D27" s="433"/>
      <c r="E27" s="179">
        <v>0</v>
      </c>
      <c r="F27" s="179">
        <f>+C27-E27</f>
        <v>6894.95</v>
      </c>
    </row>
    <row r="28" spans="2:8" ht="15.75">
      <c r="B28" s="434"/>
      <c r="C28" s="435">
        <f>SUM(C24:C27)</f>
        <v>44734.95</v>
      </c>
      <c r="D28" s="183"/>
      <c r="E28" s="435">
        <f>SUM(E24:E27)</f>
        <v>0</v>
      </c>
      <c r="F28" s="435">
        <f>SUM(F24:F27)</f>
        <v>44734.95</v>
      </c>
      <c r="H28" s="287">
        <f>+F28+F19+F9</f>
        <v>126570.73000000001</v>
      </c>
    </row>
    <row r="29" spans="2:8" ht="15.75">
      <c r="B29" s="442"/>
      <c r="C29" s="442"/>
      <c r="D29" s="442"/>
      <c r="E29" s="442"/>
      <c r="F29" s="442"/>
      <c r="H29">
        <f>+H28-'[1]Gastos'!$AK$898</f>
        <v>86570.73000000003</v>
      </c>
    </row>
    <row r="30" spans="2:6" ht="15.75">
      <c r="B30" s="442"/>
      <c r="C30" s="442"/>
      <c r="D30" s="442"/>
      <c r="E30" s="442"/>
      <c r="F30" s="442"/>
    </row>
    <row r="31" spans="2:6" ht="15.75">
      <c r="B31" s="318"/>
      <c r="C31" s="318"/>
      <c r="D31" s="318"/>
      <c r="E31" s="318"/>
      <c r="F31" s="318"/>
    </row>
    <row r="32" spans="2:6" ht="15.75">
      <c r="B32" s="318"/>
      <c r="C32" s="318"/>
      <c r="D32" s="318"/>
      <c r="E32" s="318"/>
      <c r="F32" s="318"/>
    </row>
    <row r="33" spans="2:6" ht="15.75">
      <c r="B33" s="318"/>
      <c r="C33" s="318"/>
      <c r="D33" s="318"/>
      <c r="E33" s="318"/>
      <c r="F33" s="318"/>
    </row>
    <row r="34" spans="2:6" ht="15.75">
      <c r="B34" s="318"/>
      <c r="C34" s="318"/>
      <c r="D34" s="318"/>
      <c r="E34" s="318"/>
      <c r="F34" s="318"/>
    </row>
    <row r="35" spans="2:6" ht="15.75">
      <c r="B35" s="318"/>
      <c r="C35" s="318"/>
      <c r="D35" s="318"/>
      <c r="E35" s="318"/>
      <c r="F35" s="318"/>
    </row>
    <row r="36" spans="2:6" ht="15.75">
      <c r="B36" s="318"/>
      <c r="C36" s="318"/>
      <c r="D36" s="318"/>
      <c r="E36" s="318"/>
      <c r="F36" s="318"/>
    </row>
    <row r="37" spans="2:6" ht="15.75">
      <c r="B37" s="318"/>
      <c r="C37" s="318"/>
      <c r="D37" s="318"/>
      <c r="E37" s="318"/>
      <c r="F37" s="318"/>
    </row>
  </sheetData>
  <sheetProtection/>
  <mergeCells count="1">
    <mergeCell ref="B3:F3"/>
  </mergeCells>
  <printOptions horizontalCentered="1" verticalCentered="1"/>
  <pageMargins left="0.1968503937007874" right="0.1968503937007874" top="0.1968503937007874" bottom="0.11811023622047245" header="0.1968503937007874" footer="0.1968503937007874"/>
  <pageSetup firstPageNumber="15" useFirstPageNumber="1" fitToHeight="1" fitToWidth="1" horizontalDpi="600" verticalDpi="600" orientation="landscape" paperSize="9" scale="74" r:id="rId1"/>
  <headerFooter alignWithMargins="0">
    <oddFooter>&amp;C&amp;"Arial,Normal"&amp;11&amp;K000000&amp;P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44"/>
  <sheetViews>
    <sheetView tabSelected="1" zoomScalePageLayoutView="0" workbookViewId="0" topLeftCell="A1">
      <selection activeCell="J7" sqref="F7:J8"/>
    </sheetView>
  </sheetViews>
  <sheetFormatPr defaultColWidth="8.88671875" defaultRowHeight="15.75"/>
  <cols>
    <col min="1" max="1" width="28.88671875" style="359" customWidth="1"/>
    <col min="2" max="2" width="13.5546875" style="362" customWidth="1"/>
    <col min="3" max="3" width="1.33203125" style="362" customWidth="1"/>
    <col min="4" max="4" width="9.77734375" style="362" customWidth="1"/>
    <col min="5" max="5" width="1.4375" style="362" customWidth="1"/>
    <col min="6" max="6" width="12.21484375" style="359" customWidth="1"/>
    <col min="7" max="7" width="9.77734375" style="359" customWidth="1"/>
    <col min="8" max="8" width="2.77734375" style="359" bestFit="1" customWidth="1"/>
    <col min="9" max="9" width="3.21484375" style="359" customWidth="1"/>
    <col min="10" max="10" width="15.3359375" style="359" customWidth="1"/>
    <col min="11" max="11" width="9.99609375" style="359" bestFit="1" customWidth="1"/>
    <col min="12" max="12" width="2.77734375" style="359" bestFit="1" customWidth="1"/>
    <col min="13" max="13" width="6.5546875" style="359" bestFit="1" customWidth="1"/>
    <col min="14" max="14" width="4.88671875" style="359" bestFit="1" customWidth="1"/>
    <col min="15" max="16384" width="8.88671875" style="359" customWidth="1"/>
  </cols>
  <sheetData>
    <row r="2" spans="1:11" ht="19.5" customHeight="1">
      <c r="A2" s="524" t="s">
        <v>91</v>
      </c>
      <c r="B2" s="524"/>
      <c r="C2" s="524"/>
      <c r="D2" s="524"/>
      <c r="E2" s="524"/>
      <c r="F2" s="524"/>
      <c r="G2" s="524"/>
      <c r="H2" s="524"/>
      <c r="I2" s="524"/>
      <c r="J2" s="524"/>
      <c r="K2" s="524"/>
    </row>
    <row r="3" spans="1:11" ht="19.5" customHeight="1">
      <c r="A3" s="524" t="s">
        <v>361</v>
      </c>
      <c r="B3" s="524"/>
      <c r="C3" s="524"/>
      <c r="D3" s="524"/>
      <c r="E3" s="524"/>
      <c r="F3" s="524"/>
      <c r="G3" s="524"/>
      <c r="H3" s="524"/>
      <c r="I3" s="524"/>
      <c r="J3" s="524"/>
      <c r="K3" s="524"/>
    </row>
    <row r="4" spans="1:11" ht="19.5" customHeight="1">
      <c r="A4" s="524"/>
      <c r="B4" s="524"/>
      <c r="C4" s="524"/>
      <c r="D4" s="524"/>
      <c r="E4" s="524"/>
      <c r="F4" s="524"/>
      <c r="G4" s="524"/>
      <c r="H4" s="524"/>
      <c r="I4" s="524"/>
      <c r="J4" s="524"/>
      <c r="K4" s="524"/>
    </row>
    <row r="5" spans="1:5" ht="19.5" customHeight="1">
      <c r="A5" s="360"/>
      <c r="B5" s="361"/>
      <c r="C5" s="361"/>
      <c r="D5" s="361"/>
      <c r="E5" s="361"/>
    </row>
    <row r="6" ht="19.5" customHeight="1">
      <c r="C6" s="363"/>
    </row>
    <row r="7" spans="1:12" ht="19.5" customHeight="1">
      <c r="A7" s="531"/>
      <c r="B7" s="529" t="s">
        <v>218</v>
      </c>
      <c r="C7" s="364"/>
      <c r="D7" s="529" t="s">
        <v>164</v>
      </c>
      <c r="E7" s="365"/>
      <c r="F7" s="522" t="s">
        <v>374</v>
      </c>
      <c r="G7" s="522" t="s">
        <v>167</v>
      </c>
      <c r="H7" s="525"/>
      <c r="J7" s="522" t="s">
        <v>375</v>
      </c>
      <c r="K7" s="522" t="s">
        <v>165</v>
      </c>
      <c r="L7" s="525"/>
    </row>
    <row r="8" spans="1:12" ht="86.25" customHeight="1">
      <c r="A8" s="532"/>
      <c r="B8" s="530"/>
      <c r="C8" s="364"/>
      <c r="D8" s="530"/>
      <c r="E8" s="365"/>
      <c r="F8" s="523"/>
      <c r="G8" s="523"/>
      <c r="H8" s="526"/>
      <c r="J8" s="523"/>
      <c r="K8" s="523"/>
      <c r="L8" s="526"/>
    </row>
    <row r="9" spans="1:12" ht="19.5" customHeight="1">
      <c r="A9" s="366"/>
      <c r="B9" s="367"/>
      <c r="C9" s="368"/>
      <c r="D9" s="367"/>
      <c r="E9" s="369"/>
      <c r="F9" s="370"/>
      <c r="G9" s="370"/>
      <c r="H9" s="371"/>
      <c r="J9" s="370"/>
      <c r="K9" s="372"/>
      <c r="L9" s="373"/>
    </row>
    <row r="10" spans="1:12" ht="26.25" customHeight="1">
      <c r="A10" s="374" t="s">
        <v>96</v>
      </c>
      <c r="B10" s="375">
        <v>6000</v>
      </c>
      <c r="C10" s="376"/>
      <c r="D10" s="375">
        <f>450+1345+440-164.71-62.23</f>
        <v>2008.06</v>
      </c>
      <c r="E10" s="375"/>
      <c r="F10" s="377">
        <f>+'[2]E.1'!$E$14-'[2]E.1'!$E$34</f>
        <v>2036.16</v>
      </c>
      <c r="G10" s="377">
        <f>+D10-F10</f>
        <v>-28.100000000000136</v>
      </c>
      <c r="H10" s="378" t="s">
        <v>150</v>
      </c>
      <c r="I10" s="379"/>
      <c r="J10" s="377">
        <f>+'[2]E.2-E.3'!$D$18</f>
        <v>2036.16</v>
      </c>
      <c r="K10" s="377">
        <f>+D10-J10</f>
        <v>-28.100000000000136</v>
      </c>
      <c r="L10" s="380" t="s">
        <v>158</v>
      </c>
    </row>
    <row r="11" spans="1:12" ht="48.75" customHeight="1">
      <c r="A11" s="381" t="s">
        <v>95</v>
      </c>
      <c r="B11" s="382"/>
      <c r="C11" s="383"/>
      <c r="D11" s="375"/>
      <c r="E11" s="375"/>
      <c r="F11" s="377"/>
      <c r="G11" s="377"/>
      <c r="H11" s="384"/>
      <c r="I11" s="385"/>
      <c r="J11" s="377"/>
      <c r="K11" s="377"/>
      <c r="L11" s="386"/>
    </row>
    <row r="12" spans="1:12" ht="23.25" customHeight="1">
      <c r="A12" s="381"/>
      <c r="B12" s="382"/>
      <c r="C12" s="383"/>
      <c r="D12" s="382"/>
      <c r="E12" s="382"/>
      <c r="F12" s="387"/>
      <c r="G12" s="387"/>
      <c r="H12" s="388"/>
      <c r="I12" s="385"/>
      <c r="J12" s="387"/>
      <c r="K12" s="387"/>
      <c r="L12" s="386"/>
    </row>
    <row r="13" spans="1:14" s="391" customFormat="1" ht="19.5" customHeight="1">
      <c r="A13" s="389" t="s">
        <v>149</v>
      </c>
      <c r="B13" s="375">
        <v>4000</v>
      </c>
      <c r="C13" s="376"/>
      <c r="D13" s="375">
        <f>-2637.88+26.52+5331.92+218.63+2295.01+56000-46900-95.52+312.24+20+486.62</f>
        <v>15057.539999999997</v>
      </c>
      <c r="E13" s="375"/>
      <c r="F13" s="377">
        <f>+'[2]E.1'!$E$11+'[2]E.1'!$E$16-'[2]E.1'!$E$33</f>
        <v>14122.77</v>
      </c>
      <c r="G13" s="377">
        <f>+D13-F13</f>
        <v>934.7699999999968</v>
      </c>
      <c r="H13" s="378" t="s">
        <v>151</v>
      </c>
      <c r="I13" s="379"/>
      <c r="J13" s="377">
        <f>+'[2]E.2-E.3'!$D$19</f>
        <v>13573.779999999999</v>
      </c>
      <c r="K13" s="377">
        <f>+D13-J13</f>
        <v>1483.7599999999984</v>
      </c>
      <c r="L13" s="380" t="s">
        <v>159</v>
      </c>
      <c r="M13" s="390"/>
      <c r="N13" s="390"/>
    </row>
    <row r="14" spans="1:12" ht="67.5" customHeight="1">
      <c r="A14" s="381" t="s">
        <v>126</v>
      </c>
      <c r="B14" s="392"/>
      <c r="C14" s="393"/>
      <c r="D14" s="394"/>
      <c r="E14" s="394"/>
      <c r="F14" s="395"/>
      <c r="G14" s="395"/>
      <c r="H14" s="396"/>
      <c r="I14" s="397"/>
      <c r="J14" s="395"/>
      <c r="K14" s="395"/>
      <c r="L14" s="373"/>
    </row>
    <row r="15" spans="1:12" ht="21.75" customHeight="1">
      <c r="A15" s="381"/>
      <c r="B15" s="398"/>
      <c r="C15" s="399"/>
      <c r="D15" s="398"/>
      <c r="E15" s="400"/>
      <c r="F15" s="401"/>
      <c r="G15" s="401"/>
      <c r="H15" s="402"/>
      <c r="I15" s="397"/>
      <c r="J15" s="401"/>
      <c r="K15" s="401"/>
      <c r="L15" s="403"/>
    </row>
    <row r="16" spans="1:13" ht="19.5" customHeight="1">
      <c r="A16" s="404" t="s">
        <v>92</v>
      </c>
      <c r="B16" s="405">
        <f>SUM(B9:B14)</f>
        <v>10000</v>
      </c>
      <c r="C16" s="364"/>
      <c r="D16" s="406">
        <f>SUM(D9:D14)</f>
        <v>17065.6</v>
      </c>
      <c r="E16" s="375"/>
      <c r="F16" s="407">
        <f>SUM(F9:F14)</f>
        <v>16158.93</v>
      </c>
      <c r="G16" s="527">
        <f>SUM(G9:G14)</f>
        <v>906.6699999999967</v>
      </c>
      <c r="H16" s="528"/>
      <c r="I16" s="408"/>
      <c r="J16" s="407">
        <f>SUM(J9:J14)</f>
        <v>15609.939999999999</v>
      </c>
      <c r="K16" s="527">
        <f>+D16-J16</f>
        <v>1455.6599999999999</v>
      </c>
      <c r="L16" s="528"/>
      <c r="M16" s="409"/>
    </row>
    <row r="17" spans="1:11" ht="19.5" customHeight="1">
      <c r="A17" s="410"/>
      <c r="B17" s="411"/>
      <c r="C17" s="411"/>
      <c r="D17" s="412"/>
      <c r="E17" s="412"/>
      <c r="F17" s="413"/>
      <c r="G17" s="413"/>
      <c r="H17" s="413"/>
      <c r="I17" s="413"/>
      <c r="J17" s="413"/>
      <c r="K17" s="413"/>
    </row>
    <row r="18" spans="1:11" ht="19.5" customHeight="1">
      <c r="A18" s="410"/>
      <c r="B18" s="411"/>
      <c r="C18" s="411"/>
      <c r="D18" s="412"/>
      <c r="E18" s="412"/>
      <c r="F18" s="413"/>
      <c r="G18" s="413"/>
      <c r="H18" s="413"/>
      <c r="I18" s="413"/>
      <c r="J18" s="414"/>
      <c r="K18" s="413"/>
    </row>
    <row r="19" spans="1:12" ht="19.5" customHeight="1">
      <c r="A19" s="415" t="s">
        <v>160</v>
      </c>
      <c r="B19" s="383"/>
      <c r="C19" s="383"/>
      <c r="D19" s="368"/>
      <c r="E19" s="368"/>
      <c r="F19" s="415" t="s">
        <v>162</v>
      </c>
      <c r="G19" s="415"/>
      <c r="H19" s="415"/>
      <c r="I19" s="383"/>
      <c r="J19" s="383"/>
      <c r="K19" s="368"/>
      <c r="L19" s="413"/>
    </row>
    <row r="20" spans="1:12" ht="19.5" customHeight="1">
      <c r="A20" s="422" t="s">
        <v>362</v>
      </c>
      <c r="B20" s="383"/>
      <c r="C20" s="383"/>
      <c r="D20" s="417">
        <v>-28.1</v>
      </c>
      <c r="E20" s="368"/>
      <c r="F20" s="422" t="s">
        <v>362</v>
      </c>
      <c r="G20" s="383"/>
      <c r="H20" s="383"/>
      <c r="I20" s="417"/>
      <c r="J20" s="383"/>
      <c r="K20" s="417">
        <v>-28.1</v>
      </c>
      <c r="L20" s="413"/>
    </row>
    <row r="21" spans="1:12" ht="9" customHeight="1">
      <c r="A21" s="416"/>
      <c r="B21" s="359"/>
      <c r="C21" s="414"/>
      <c r="D21" s="418"/>
      <c r="E21" s="383"/>
      <c r="F21" s="416"/>
      <c r="G21" s="416"/>
      <c r="H21" s="416"/>
      <c r="J21" s="414"/>
      <c r="K21" s="418"/>
      <c r="L21" s="413"/>
    </row>
    <row r="22" spans="1:14" ht="19.5" customHeight="1">
      <c r="A22" s="413"/>
      <c r="B22" s="359"/>
      <c r="C22" s="383"/>
      <c r="D22" s="383">
        <f>SUM(D20:D21)</f>
        <v>-28.1</v>
      </c>
      <c r="E22" s="383"/>
      <c r="F22" s="413"/>
      <c r="G22" s="413"/>
      <c r="H22" s="413"/>
      <c r="J22" s="383"/>
      <c r="K22" s="383">
        <f>SUM(K20:K21)</f>
        <v>-28.1</v>
      </c>
      <c r="L22" s="413"/>
      <c r="M22" s="419">
        <f>+D22-G10</f>
        <v>1.3500311979441904E-13</v>
      </c>
      <c r="N22" s="419">
        <f>+K22-K10</f>
        <v>1.3500311979441904E-13</v>
      </c>
    </row>
    <row r="23" spans="1:14" ht="19.5" customHeight="1">
      <c r="A23" s="413"/>
      <c r="B23" s="359"/>
      <c r="C23" s="414"/>
      <c r="D23" s="417"/>
      <c r="E23" s="417"/>
      <c r="F23" s="413"/>
      <c r="G23" s="413"/>
      <c r="H23" s="413"/>
      <c r="I23" s="413"/>
      <c r="J23" s="413"/>
      <c r="K23" s="413"/>
      <c r="L23" s="413"/>
      <c r="M23" s="420"/>
      <c r="N23" s="420"/>
    </row>
    <row r="24" spans="1:14" ht="19.5" customHeight="1">
      <c r="A24" s="415" t="s">
        <v>161</v>
      </c>
      <c r="B24" s="359"/>
      <c r="C24" s="414"/>
      <c r="D24" s="417"/>
      <c r="E24" s="417"/>
      <c r="F24" s="415" t="s">
        <v>163</v>
      </c>
      <c r="G24" s="415"/>
      <c r="H24" s="415"/>
      <c r="I24" s="383"/>
      <c r="J24" s="383"/>
      <c r="K24" s="368"/>
      <c r="L24" s="413"/>
      <c r="M24" s="420"/>
      <c r="N24" s="420"/>
    </row>
    <row r="25" spans="1:14" ht="19.5" customHeight="1">
      <c r="A25" s="416" t="s">
        <v>245</v>
      </c>
      <c r="B25" s="359"/>
      <c r="C25" s="414"/>
      <c r="D25" s="417">
        <f>-394.31-154.68</f>
        <v>-548.99</v>
      </c>
      <c r="E25" s="417"/>
      <c r="F25" s="416" t="s">
        <v>233</v>
      </c>
      <c r="K25" s="417">
        <v>9</v>
      </c>
      <c r="L25" s="413"/>
      <c r="M25" s="420"/>
      <c r="N25" s="420"/>
    </row>
    <row r="26" spans="1:14" ht="19.5" customHeight="1">
      <c r="A26" s="416" t="s">
        <v>244</v>
      </c>
      <c r="B26" s="359"/>
      <c r="C26" s="414"/>
      <c r="D26" s="417">
        <v>9</v>
      </c>
      <c r="E26" s="417"/>
      <c r="F26" s="416" t="s">
        <v>232</v>
      </c>
      <c r="H26" s="414"/>
      <c r="I26" s="417"/>
      <c r="K26" s="417">
        <f>10.3-0.05+11.4+8.79</f>
        <v>30.439999999999998</v>
      </c>
      <c r="L26" s="413"/>
      <c r="M26" s="420"/>
      <c r="N26" s="420"/>
    </row>
    <row r="27" spans="1:14" ht="19.5" customHeight="1">
      <c r="A27" s="416" t="s">
        <v>243</v>
      </c>
      <c r="B27" s="359"/>
      <c r="C27" s="414"/>
      <c r="D27" s="417">
        <f>10.31-0.01-0.05+11.4+8.79</f>
        <v>30.439999999999998</v>
      </c>
      <c r="E27" s="417"/>
      <c r="F27" s="416" t="s">
        <v>241</v>
      </c>
      <c r="H27" s="414"/>
      <c r="I27" s="417"/>
      <c r="K27" s="417">
        <v>121.03</v>
      </c>
      <c r="L27" s="413"/>
      <c r="M27" s="420"/>
      <c r="N27" s="420"/>
    </row>
    <row r="28" spans="1:14" ht="19.5" customHeight="1">
      <c r="A28" s="416" t="s">
        <v>242</v>
      </c>
      <c r="B28" s="359"/>
      <c r="C28" s="414"/>
      <c r="D28" s="417">
        <v>121.03</v>
      </c>
      <c r="E28" s="417"/>
      <c r="F28" s="416" t="s">
        <v>246</v>
      </c>
      <c r="K28" s="417">
        <f>15.88+7.42+8.6+1.08+4.5+4.5-44+1.76+2.5+6.52+18.42+5.04</f>
        <v>32.22</v>
      </c>
      <c r="L28" s="413"/>
      <c r="M28" s="420"/>
      <c r="N28" s="420"/>
    </row>
    <row r="29" spans="1:14" ht="19.5" customHeight="1">
      <c r="A29" s="416" t="s">
        <v>246</v>
      </c>
      <c r="B29" s="359"/>
      <c r="C29" s="414"/>
      <c r="D29" s="417">
        <f>15.88+7.42+8.6+1.08+4.5+4.5-44+1.76+2.5+6.52+18.42+5.04</f>
        <v>32.22</v>
      </c>
      <c r="E29" s="417"/>
      <c r="F29" s="416" t="s">
        <v>266</v>
      </c>
      <c r="H29" s="414"/>
      <c r="I29" s="417"/>
      <c r="K29" s="417">
        <v>20</v>
      </c>
      <c r="L29" s="413"/>
      <c r="M29" s="420"/>
      <c r="N29" s="420"/>
    </row>
    <row r="30" spans="1:14" ht="19.5" customHeight="1">
      <c r="A30" s="416" t="s">
        <v>266</v>
      </c>
      <c r="B30" s="359"/>
      <c r="C30" s="414"/>
      <c r="D30" s="417">
        <v>20</v>
      </c>
      <c r="E30" s="417"/>
      <c r="F30" s="416" t="s">
        <v>267</v>
      </c>
      <c r="H30" s="414"/>
      <c r="I30" s="417"/>
      <c r="K30" s="417">
        <v>-95.52</v>
      </c>
      <c r="L30" s="413"/>
      <c r="M30" s="420"/>
      <c r="N30" s="420"/>
    </row>
    <row r="31" spans="1:14" ht="19.5" customHeight="1">
      <c r="A31" s="416" t="s">
        <v>267</v>
      </c>
      <c r="B31" s="359"/>
      <c r="C31" s="414"/>
      <c r="D31" s="417">
        <v>-95.52</v>
      </c>
      <c r="E31" s="417"/>
      <c r="F31" s="416" t="s">
        <v>312</v>
      </c>
      <c r="H31" s="414"/>
      <c r="I31" s="417"/>
      <c r="K31" s="417">
        <v>486.62</v>
      </c>
      <c r="L31" s="413"/>
      <c r="M31" s="420"/>
      <c r="N31" s="420"/>
    </row>
    <row r="32" spans="1:14" ht="19.5" customHeight="1">
      <c r="A32" s="416" t="s">
        <v>312</v>
      </c>
      <c r="B32" s="359"/>
      <c r="C32" s="414"/>
      <c r="D32" s="417">
        <v>486.62</v>
      </c>
      <c r="E32" s="417"/>
      <c r="F32" s="416" t="s">
        <v>363</v>
      </c>
      <c r="K32" s="417">
        <v>732.22</v>
      </c>
      <c r="L32" s="413"/>
      <c r="M32" s="420"/>
      <c r="N32" s="420"/>
    </row>
    <row r="33" spans="1:14" ht="19.5" customHeight="1">
      <c r="A33" s="416" t="s">
        <v>363</v>
      </c>
      <c r="B33" s="359"/>
      <c r="C33" s="414"/>
      <c r="D33" s="417">
        <v>732.22</v>
      </c>
      <c r="E33" s="417"/>
      <c r="F33" s="416" t="s">
        <v>364</v>
      </c>
      <c r="K33" s="417">
        <v>172.75</v>
      </c>
      <c r="L33" s="413"/>
      <c r="M33" s="420"/>
      <c r="N33" s="420"/>
    </row>
    <row r="34" spans="1:14" ht="19.5" customHeight="1">
      <c r="A34" s="416" t="s">
        <v>364</v>
      </c>
      <c r="B34" s="359"/>
      <c r="C34" s="414"/>
      <c r="D34" s="417">
        <v>172.75</v>
      </c>
      <c r="E34" s="417"/>
      <c r="F34" s="416" t="s">
        <v>365</v>
      </c>
      <c r="H34" s="414"/>
      <c r="I34" s="417"/>
      <c r="K34" s="417">
        <v>-25</v>
      </c>
      <c r="L34" s="413"/>
      <c r="M34" s="420"/>
      <c r="N34" s="420"/>
    </row>
    <row r="35" spans="1:14" ht="19.5" customHeight="1">
      <c r="A35" s="416" t="s">
        <v>365</v>
      </c>
      <c r="B35" s="359"/>
      <c r="C35" s="414"/>
      <c r="D35" s="417">
        <v>-25</v>
      </c>
      <c r="E35" s="417"/>
      <c r="F35" s="416"/>
      <c r="K35" s="417"/>
      <c r="L35" s="413"/>
      <c r="M35" s="420"/>
      <c r="N35" s="420"/>
    </row>
    <row r="36" spans="1:14" ht="9" customHeight="1">
      <c r="A36" s="416"/>
      <c r="B36" s="359"/>
      <c r="C36" s="414"/>
      <c r="D36" s="418"/>
      <c r="E36" s="383"/>
      <c r="F36" s="413"/>
      <c r="G36" s="416"/>
      <c r="H36" s="416"/>
      <c r="J36" s="414"/>
      <c r="K36" s="418"/>
      <c r="L36" s="413"/>
      <c r="M36" s="420"/>
      <c r="N36" s="420"/>
    </row>
    <row r="37" spans="1:14" ht="19.5" customHeight="1">
      <c r="A37" s="413"/>
      <c r="B37" s="359"/>
      <c r="C37" s="414"/>
      <c r="D37" s="417">
        <f>SUM(D25:D36)</f>
        <v>934.7700000000001</v>
      </c>
      <c r="E37" s="417"/>
      <c r="F37" s="421"/>
      <c r="G37" s="413"/>
      <c r="H37" s="413"/>
      <c r="J37" s="414"/>
      <c r="K37" s="417">
        <f>SUM(K25:K36)</f>
        <v>1483.76</v>
      </c>
      <c r="L37" s="413"/>
      <c r="M37" s="419">
        <f>+D37-G13</f>
        <v>3.296918293926865E-12</v>
      </c>
      <c r="N37" s="419">
        <f>+K37-K13</f>
        <v>0</v>
      </c>
    </row>
    <row r="38" spans="1:12" ht="19.5" customHeight="1">
      <c r="A38" s="413"/>
      <c r="B38" s="414"/>
      <c r="C38" s="414"/>
      <c r="D38" s="414"/>
      <c r="E38" s="414"/>
      <c r="F38" s="413"/>
      <c r="G38" s="413"/>
      <c r="H38" s="413"/>
      <c r="I38" s="413"/>
      <c r="J38" s="413"/>
      <c r="K38" s="414"/>
      <c r="L38" s="413"/>
    </row>
    <row r="39" spans="1:12" ht="19.5" customHeight="1">
      <c r="A39" s="413"/>
      <c r="B39" s="414"/>
      <c r="C39" s="414"/>
      <c r="D39" s="414"/>
      <c r="E39" s="414"/>
      <c r="F39" s="413"/>
      <c r="G39" s="413"/>
      <c r="H39" s="413"/>
      <c r="I39" s="413"/>
      <c r="J39" s="413"/>
      <c r="K39" s="414"/>
      <c r="L39" s="413"/>
    </row>
    <row r="40" spans="1:12" ht="19.5" customHeight="1">
      <c r="A40" s="413"/>
      <c r="B40" s="414"/>
      <c r="C40" s="414"/>
      <c r="D40" s="414"/>
      <c r="E40" s="414"/>
      <c r="F40" s="413"/>
      <c r="G40" s="413"/>
      <c r="H40" s="413"/>
      <c r="I40" s="413"/>
      <c r="J40" s="413"/>
      <c r="K40" s="413"/>
      <c r="L40" s="413"/>
    </row>
    <row r="41" spans="1:12" ht="19.5" customHeight="1">
      <c r="A41" s="413"/>
      <c r="B41" s="414"/>
      <c r="C41" s="414"/>
      <c r="D41" s="414"/>
      <c r="E41" s="414"/>
      <c r="F41" s="413"/>
      <c r="G41" s="413"/>
      <c r="H41" s="413"/>
      <c r="I41" s="413"/>
      <c r="J41" s="413"/>
      <c r="K41" s="413"/>
      <c r="L41" s="413"/>
    </row>
    <row r="42" spans="1:12" ht="19.5" customHeight="1">
      <c r="A42" s="413"/>
      <c r="B42" s="414"/>
      <c r="C42" s="414"/>
      <c r="D42" s="414"/>
      <c r="E42" s="414"/>
      <c r="F42" s="413"/>
      <c r="G42" s="413"/>
      <c r="H42" s="413"/>
      <c r="I42" s="413"/>
      <c r="J42" s="413"/>
      <c r="K42" s="413"/>
      <c r="L42" s="413"/>
    </row>
    <row r="43" spans="1:12" ht="19.5" customHeight="1">
      <c r="A43" s="413"/>
      <c r="B43" s="414"/>
      <c r="C43" s="414"/>
      <c r="D43" s="414"/>
      <c r="E43" s="414"/>
      <c r="F43" s="413"/>
      <c r="G43" s="413"/>
      <c r="H43" s="413"/>
      <c r="I43" s="413"/>
      <c r="J43" s="413"/>
      <c r="K43" s="413"/>
      <c r="L43" s="413"/>
    </row>
    <row r="44" spans="1:12" ht="19.5" customHeight="1">
      <c r="A44" s="413"/>
      <c r="B44" s="414"/>
      <c r="C44" s="414"/>
      <c r="D44" s="414"/>
      <c r="E44" s="414"/>
      <c r="F44" s="413"/>
      <c r="G44" s="413"/>
      <c r="H44" s="413"/>
      <c r="I44" s="413"/>
      <c r="J44" s="413"/>
      <c r="K44" s="413"/>
      <c r="L44" s="41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sheetData>
  <sheetProtection/>
  <mergeCells count="12">
    <mergeCell ref="A2:K2"/>
    <mergeCell ref="A3:K3"/>
    <mergeCell ref="B7:B8"/>
    <mergeCell ref="D7:D8"/>
    <mergeCell ref="A7:A8"/>
    <mergeCell ref="J7:J8"/>
    <mergeCell ref="A4:K4"/>
    <mergeCell ref="G7:H8"/>
    <mergeCell ref="K7:L8"/>
    <mergeCell ref="K16:L16"/>
    <mergeCell ref="G16:H16"/>
    <mergeCell ref="F7:F8"/>
  </mergeCells>
  <printOptions horizontalCentered="1"/>
  <pageMargins left="0.1968503937007874" right="0.1968503937007874" top="0.5905511811023623" bottom="0.3937007874015748" header="0.5118110236220472" footer="0"/>
  <pageSetup firstPageNumber="16" useFirstPageNumber="1" fitToHeight="1" fitToWidth="1" orientation="portrait" paperSize="9" scale="75" r:id="rId1"/>
  <headerFooter alignWithMargins="0">
    <oddFooter>&amp;C&amp;"Arial,Normal"&amp;11&amp;K000000&amp;P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Comportamiento gasto</dc:title>
  <dc:subject/>
  <dc:creator>ALADI</dc:creator>
  <cp:keywords/>
  <dc:description>Forma parte del Doc.Inf.. 505/Rev. 8</dc:description>
  <cp:lastModifiedBy>crisso</cp:lastModifiedBy>
  <cp:lastPrinted>2013-02-06T15:06:45Z</cp:lastPrinted>
  <dcterms:created xsi:type="dcterms:W3CDTF">1998-07-20T16:48:03Z</dcterms:created>
  <dcterms:modified xsi:type="dcterms:W3CDTF">2013-02-07T16:56:55Z</dcterms:modified>
  <cp:category/>
  <cp:version/>
  <cp:contentType/>
  <cp:contentStatus/>
</cp:coreProperties>
</file>